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mc:AlternateContent xmlns:mc="http://schemas.openxmlformats.org/markup-compatibility/2006">
    <mc:Choice Requires="x15">
      <x15ac:absPath xmlns:x15ac="http://schemas.microsoft.com/office/spreadsheetml/2010/11/ac" url="/Users/dembatall/Desktop/Versions finales approuvées PTAB et PPM 2023_03 fevrier 2023/"/>
    </mc:Choice>
  </mc:AlternateContent>
  <xr:revisionPtr revIDLastSave="0" documentId="13_ncr:1_{A540D7A5-995A-6645-A0BB-39B1C7C297F3}" xr6:coauthVersionLast="36" xr6:coauthVersionMax="36" xr10:uidLastSave="{00000000-0000-0000-0000-000000000000}"/>
  <bookViews>
    <workbookView xWindow="0" yWindow="460" windowWidth="25600" windowHeight="15040" xr2:uid="{00000000-000D-0000-FFFF-FFFF00000000}"/>
  </bookViews>
  <sheets>
    <sheet name="ProjetPTAB 2023_ approuvé" sheetId="4" r:id="rId1"/>
    <sheet name="Point sur construction et SC" sheetId="3" state="hidden" r:id="rId2"/>
    <sheet name="Projet de PTAB 2023" sheetId="2" state="hidden" r:id="rId3"/>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Y184" i="4" l="1"/>
  <c r="X184" i="4"/>
  <c r="W51" i="4" l="1"/>
  <c r="Y105" i="4"/>
  <c r="C190" i="4" l="1"/>
  <c r="C184" i="4" l="1"/>
  <c r="Y182" i="4"/>
  <c r="W173" i="4"/>
  <c r="W172" i="4"/>
  <c r="W167" i="4"/>
  <c r="W166" i="4"/>
  <c r="W165" i="4"/>
  <c r="W158" i="4"/>
  <c r="W155" i="4"/>
  <c r="W152" i="4"/>
  <c r="W151" i="4"/>
  <c r="W147" i="4"/>
  <c r="W146" i="4"/>
  <c r="W143" i="4"/>
  <c r="W142" i="4"/>
  <c r="W141" i="4"/>
  <c r="W140" i="4"/>
  <c r="W138" i="4"/>
  <c r="W136" i="4"/>
  <c r="Y132" i="4"/>
  <c r="Y130" i="4"/>
  <c r="Y129" i="4"/>
  <c r="Y127" i="4"/>
  <c r="Y118" i="4"/>
  <c r="Y117" i="4"/>
  <c r="Y116" i="4"/>
  <c r="Y115" i="4"/>
  <c r="Y114" i="4"/>
  <c r="Y113" i="4"/>
  <c r="Y110" i="4"/>
  <c r="Y108" i="4"/>
  <c r="Y102" i="4"/>
  <c r="Y55" i="4"/>
  <c r="W53" i="4"/>
  <c r="Y39" i="4"/>
  <c r="Y37" i="4"/>
  <c r="W35" i="4"/>
  <c r="W33" i="4"/>
  <c r="W32" i="4"/>
  <c r="W31" i="4"/>
  <c r="W28" i="4"/>
  <c r="W27" i="4"/>
  <c r="W25" i="4"/>
  <c r="W24" i="4"/>
  <c r="W23" i="4"/>
  <c r="W22" i="4"/>
  <c r="W19" i="4"/>
  <c r="W18" i="4"/>
  <c r="Y17" i="4"/>
  <c r="Y16" i="4"/>
  <c r="W16" i="4"/>
  <c r="W14" i="4"/>
  <c r="W13" i="4"/>
  <c r="W11" i="4"/>
  <c r="W184" i="4" l="1"/>
  <c r="B188" i="4" s="1"/>
  <c r="C188" i="4" s="1"/>
  <c r="B187" i="4"/>
  <c r="C187" i="4" s="1"/>
  <c r="AE185" i="2"/>
  <c r="AD185" i="2"/>
  <c r="AE125" i="2"/>
  <c r="AD125" i="2"/>
  <c r="AE100" i="2"/>
  <c r="AD100" i="2"/>
  <c r="AE80" i="2"/>
  <c r="AD80" i="2"/>
  <c r="AE70" i="2"/>
  <c r="AD70" i="2"/>
  <c r="AE47" i="2"/>
  <c r="AD47" i="2"/>
  <c r="AE28" i="2"/>
  <c r="AD28" i="2"/>
  <c r="B191" i="4" l="1"/>
  <c r="C191" i="4" s="1"/>
  <c r="AD186" i="2"/>
  <c r="AE186" i="2"/>
  <c r="AB176" i="2"/>
  <c r="AB171" i="2"/>
  <c r="C189" i="4" l="1"/>
  <c r="AB106" i="2"/>
  <c r="AB51" i="2"/>
  <c r="AB66" i="2"/>
  <c r="AB151" i="2"/>
  <c r="X186" i="2" l="1"/>
  <c r="AB162" i="2"/>
  <c r="AB161" i="2"/>
  <c r="AB182" i="2"/>
  <c r="AB164" i="2"/>
  <c r="AB170" i="2" l="1"/>
  <c r="AB79" i="2" l="1"/>
  <c r="K3" i="3"/>
  <c r="K4" i="3" s="1"/>
  <c r="AB20" i="2"/>
  <c r="W13" i="2" l="1"/>
  <c r="AB62" i="2" l="1"/>
  <c r="Y184" i="2" l="1"/>
  <c r="AB184" i="2" s="1"/>
  <c r="AB185" i="2"/>
  <c r="Y56" i="2" l="1"/>
  <c r="AB56" i="2" s="1"/>
  <c r="AB59" i="2"/>
  <c r="AB58" i="2"/>
  <c r="AB57" i="2"/>
  <c r="AB43" i="2"/>
  <c r="AB44" i="2"/>
  <c r="Y134" i="2" l="1"/>
  <c r="AB134" i="2" s="1"/>
  <c r="I13" i="3"/>
  <c r="J13" i="3" s="1"/>
  <c r="J12" i="3"/>
  <c r="J3" i="3"/>
  <c r="I5" i="3"/>
  <c r="I6" i="3" s="1"/>
  <c r="K8" i="3" s="1"/>
  <c r="I7" i="3" l="1"/>
  <c r="J7" i="3" s="1"/>
  <c r="J6" i="3"/>
  <c r="J5" i="3"/>
  <c r="AB97" i="2" l="1"/>
  <c r="AB98" i="2" l="1"/>
  <c r="AB46" i="2" l="1"/>
  <c r="Y129" i="2"/>
  <c r="AB129" i="2" s="1"/>
  <c r="Y128" i="2"/>
  <c r="AB128" i="2" s="1"/>
  <c r="AB181" i="2" l="1"/>
  <c r="AB179" i="2"/>
  <c r="W168" i="2"/>
  <c r="W153" i="2" l="1"/>
  <c r="AB136" i="2"/>
  <c r="W160" i="2" l="1"/>
  <c r="AB85" i="2" l="1"/>
  <c r="AB41" i="2" l="1"/>
  <c r="AB60" i="2"/>
  <c r="Y39" i="2"/>
  <c r="AB39" i="2" s="1"/>
  <c r="Y37" i="2"/>
  <c r="AB37" i="2" s="1"/>
  <c r="Y17" i="2"/>
  <c r="AB17" i="2" s="1"/>
  <c r="Y16" i="2"/>
  <c r="W169" i="2" l="1"/>
  <c r="AB169" i="2" s="1"/>
  <c r="AB168" i="2"/>
  <c r="W167" i="2" l="1"/>
  <c r="AB167" i="2" s="1"/>
  <c r="W166" i="2"/>
  <c r="AB166" i="2" s="1"/>
  <c r="AB160" i="2"/>
  <c r="W157" i="2"/>
  <c r="AB157" i="2" s="1"/>
  <c r="W154" i="2" l="1"/>
  <c r="AB154" i="2" s="1"/>
  <c r="W150" i="2"/>
  <c r="AB150" i="2" s="1"/>
  <c r="W149" i="2"/>
  <c r="AB149" i="2" s="1"/>
  <c r="W148" i="2"/>
  <c r="AB148" i="2" s="1"/>
  <c r="AB147" i="2"/>
  <c r="AB146" i="2"/>
  <c r="W145" i="2"/>
  <c r="AB145" i="2" s="1"/>
  <c r="W144" i="2"/>
  <c r="AB144" i="2" s="1"/>
  <c r="W143" i="2"/>
  <c r="AB143" i="2" s="1"/>
  <c r="W142" i="2"/>
  <c r="AB142" i="2" s="1"/>
  <c r="W140" i="2"/>
  <c r="AB140" i="2" s="1"/>
  <c r="W138" i="2"/>
  <c r="AB138" i="2" s="1"/>
  <c r="AB137" i="2"/>
  <c r="Y132" i="2" l="1"/>
  <c r="AB132" i="2" s="1"/>
  <c r="Y131" i="2"/>
  <c r="AB131" i="2" s="1"/>
  <c r="AB76" i="2" l="1"/>
  <c r="AB77" i="2"/>
  <c r="AB78" i="2"/>
  <c r="AB80" i="2"/>
  <c r="AB75" i="2"/>
  <c r="AB125" i="2" l="1"/>
  <c r="AB123" i="2"/>
  <c r="AB121" i="2"/>
  <c r="Y120" i="2"/>
  <c r="AB120" i="2" s="1"/>
  <c r="Y119" i="2"/>
  <c r="AB119" i="2" s="1"/>
  <c r="Y118" i="2"/>
  <c r="AB118" i="2" s="1"/>
  <c r="Y117" i="2"/>
  <c r="AB117" i="2" s="1"/>
  <c r="Y116" i="2"/>
  <c r="AB116" i="2" s="1"/>
  <c r="Y115" i="2"/>
  <c r="AB115" i="2" s="1"/>
  <c r="AB104" i="2"/>
  <c r="Y103" i="2"/>
  <c r="Y107" i="2"/>
  <c r="AB107" i="2" s="1"/>
  <c r="Y110" i="2"/>
  <c r="AB103" i="2" l="1"/>
  <c r="AB100" i="2"/>
  <c r="AB94" i="2"/>
  <c r="AB92" i="2"/>
  <c r="AB91" i="2"/>
  <c r="AB88" i="2"/>
  <c r="AB89" i="2"/>
  <c r="AB87" i="2"/>
  <c r="AB84" i="2"/>
  <c r="AB83" i="2"/>
  <c r="AB73" i="2" l="1"/>
  <c r="AB70" i="2" l="1"/>
  <c r="AB68" i="2"/>
  <c r="AB65" i="2"/>
  <c r="AB63" i="2"/>
  <c r="W54" i="2" l="1"/>
  <c r="AB54" i="2" s="1"/>
  <c r="W52" i="2"/>
  <c r="AB52" i="2" s="1"/>
  <c r="AB50" i="2"/>
  <c r="AB47" i="2"/>
  <c r="W35" i="2" l="1"/>
  <c r="AB35" i="2" s="1"/>
  <c r="W33" i="2"/>
  <c r="AB33" i="2" s="1"/>
  <c r="W32" i="2"/>
  <c r="AB32" i="2" s="1"/>
  <c r="W31" i="2"/>
  <c r="AB31" i="2" s="1"/>
  <c r="W28" i="2" l="1"/>
  <c r="AB28" i="2" s="1"/>
  <c r="W27" i="2"/>
  <c r="AB27" i="2" s="1"/>
  <c r="W25" i="2"/>
  <c r="W24" i="2"/>
  <c r="W23" i="2"/>
  <c r="W22" i="2"/>
  <c r="W19" i="2" l="1"/>
  <c r="AB19" i="2" s="1"/>
  <c r="W18" i="2"/>
  <c r="AB18" i="2" s="1"/>
  <c r="W16" i="2" l="1"/>
  <c r="AB16" i="2" s="1"/>
  <c r="W14" i="2" l="1"/>
  <c r="AB14" i="2" s="1"/>
  <c r="AB13" i="2"/>
  <c r="W11" i="2"/>
  <c r="AB178" i="2" l="1"/>
  <c r="AB11" i="2" l="1"/>
  <c r="AB25" i="2" l="1"/>
  <c r="AB24" i="2"/>
  <c r="AB23" i="2"/>
  <c r="AB22" i="2"/>
  <c r="AB153" i="2" l="1"/>
  <c r="AB156" i="2"/>
  <c r="AB158" i="2"/>
  <c r="AB173" i="2"/>
  <c r="W174" i="2"/>
  <c r="AB174" i="2" s="1"/>
  <c r="W175" i="2"/>
  <c r="AB175" i="2" s="1"/>
  <c r="AB109" i="2"/>
  <c r="AB110" i="2"/>
  <c r="AB111" i="2"/>
  <c r="Y112" i="2"/>
  <c r="Y186" i="2" s="1"/>
  <c r="AB113" i="2"/>
  <c r="AB112" i="2" l="1"/>
  <c r="AB186" i="2" s="1"/>
  <c r="B189" i="2"/>
  <c r="C189" i="2" s="1"/>
  <c r="C186" i="2"/>
  <c r="W186" i="2"/>
  <c r="B190" i="2" s="1"/>
  <c r="B193" i="2" l="1"/>
  <c r="C193" i="2" s="1"/>
  <c r="C190" i="2"/>
  <c r="C19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Demba Tall</author>
  </authors>
  <commentList>
    <comment ref="V6" authorId="0" shapeId="0" xr:uid="{A37FB519-0B56-3A42-9451-DCA328F914A1}">
      <text>
        <r>
          <rPr>
            <b/>
            <sz val="9"/>
            <color rgb="FF000000"/>
            <rFont val="Tahoma"/>
            <family val="2"/>
          </rPr>
          <t>Schenineda:</t>
        </r>
        <r>
          <rPr>
            <sz val="9"/>
            <color rgb="FF000000"/>
            <rFont val="Tahoma"/>
            <family val="2"/>
          </rPr>
          <t xml:space="preserve">
</t>
        </r>
        <r>
          <rPr>
            <sz val="9"/>
            <color rgb="FF000000"/>
            <rFont val="Tahoma"/>
            <family val="2"/>
          </rPr>
          <t>If the addition of an activity or component requires further clarification, state it. Expecially since COVID may alter center activities and focus</t>
        </r>
      </text>
    </comment>
    <comment ref="B18" authorId="1" shapeId="0" xr:uid="{3D5A5E59-7765-974C-B089-7CA1447EF36A}">
      <text>
        <r>
          <rPr>
            <b/>
            <sz val="10"/>
            <color rgb="FF000000"/>
            <rFont val="Tahoma"/>
            <family val="2"/>
          </rPr>
          <t>Demba Tall:</t>
        </r>
        <r>
          <rPr>
            <sz val="10"/>
            <color rgb="FF000000"/>
            <rFont val="Tahoma"/>
            <family val="2"/>
          </rPr>
          <t xml:space="preserve">
</t>
        </r>
        <r>
          <rPr>
            <sz val="10"/>
            <color rgb="FF000000"/>
            <rFont val="Tahoma"/>
            <family val="2"/>
          </rPr>
          <t>50 000 F CFA pour mémoire de master et 150 000 F CFA pour thèse</t>
        </r>
      </text>
    </comment>
    <comment ref="U144" authorId="1" shapeId="0" xr:uid="{7E81BE4D-C05F-1E4F-81CE-EA715673B407}">
      <text>
        <r>
          <rPr>
            <b/>
            <sz val="10"/>
            <color rgb="FF000000"/>
            <rFont val="Tahoma"/>
            <family val="2"/>
          </rPr>
          <t>Demba Tall: ajout d'un besoin nouveau qui est la maintenance du matériel informatique acquis à moins de 1 000 000sur l'année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Schenineda</author>
    <author>Demba Tall</author>
  </authors>
  <commentList>
    <comment ref="V6" authorId="0" shapeId="0" xr:uid="{00000000-0006-0000-0000-000001000000}">
      <text>
        <r>
          <rPr>
            <b/>
            <sz val="9"/>
            <color rgb="FF000000"/>
            <rFont val="Tahoma"/>
            <family val="2"/>
          </rPr>
          <t>Schenineda:</t>
        </r>
        <r>
          <rPr>
            <sz val="9"/>
            <color rgb="FF000000"/>
            <rFont val="Tahoma"/>
            <family val="2"/>
          </rPr>
          <t xml:space="preserve">
</t>
        </r>
        <r>
          <rPr>
            <sz val="9"/>
            <color rgb="FF000000"/>
            <rFont val="Tahoma"/>
            <family val="2"/>
          </rPr>
          <t>If the addition of an activity or component requires further clarification, state it. Expecially since COVID may alter center activities and focus</t>
        </r>
      </text>
    </comment>
    <comment ref="B18" authorId="1" shapeId="0" xr:uid="{2051CC88-00BA-BE4F-A28C-F72265383D41}">
      <text>
        <r>
          <rPr>
            <b/>
            <sz val="10"/>
            <color rgb="FF000000"/>
            <rFont val="Tahoma"/>
            <family val="2"/>
          </rPr>
          <t>Demba Tall:</t>
        </r>
        <r>
          <rPr>
            <sz val="10"/>
            <color rgb="FF000000"/>
            <rFont val="Tahoma"/>
            <family val="2"/>
          </rPr>
          <t xml:space="preserve">
</t>
        </r>
        <r>
          <rPr>
            <sz val="10"/>
            <color rgb="FF000000"/>
            <rFont val="Tahoma"/>
            <family val="2"/>
          </rPr>
          <t>50 000 F CFA pour mémoire de master et 150 000 F CFA pour thèse</t>
        </r>
      </text>
    </comment>
    <comment ref="U146" authorId="1" shapeId="0" xr:uid="{FC9DAB8C-69AA-B646-9E22-BD522117E34D}">
      <text>
        <r>
          <rPr>
            <b/>
            <sz val="10"/>
            <color rgb="FF000000"/>
            <rFont val="Tahoma"/>
            <family val="2"/>
          </rPr>
          <t>Demba Tall: ajout d'un besoin nouveau qui est la maintenance du matériel informatique acquis à moins de 1 000 000sur l'année</t>
        </r>
      </text>
    </comment>
  </commentList>
</comments>
</file>

<file path=xl/sharedStrings.xml><?xml version="1.0" encoding="utf-8"?>
<sst xmlns="http://schemas.openxmlformats.org/spreadsheetml/2006/main" count="1986" uniqueCount="508">
  <si>
    <t>Jan</t>
  </si>
  <si>
    <t>Feb</t>
  </si>
  <si>
    <t>Mar</t>
  </si>
  <si>
    <t>Jul</t>
  </si>
  <si>
    <t>Sep</t>
  </si>
  <si>
    <t>Oct</t>
  </si>
  <si>
    <t>Nov</t>
  </si>
  <si>
    <t>Dec</t>
  </si>
  <si>
    <t>Description</t>
  </si>
  <si>
    <t>Institution</t>
  </si>
  <si>
    <t>Nom du centre</t>
  </si>
  <si>
    <t>Pays</t>
  </si>
  <si>
    <t>Leader du centre</t>
  </si>
  <si>
    <t>Plan de travail annuel (mois XXX-mois XXX, année)</t>
  </si>
  <si>
    <t>Dans les délais prévus</t>
  </si>
  <si>
    <t>En retard sur le programme</t>
  </si>
  <si>
    <t xml:space="preserve">Contribution des partenaires (le cas échéant)
</t>
  </si>
  <si>
    <t>Activités du plan de travail</t>
  </si>
  <si>
    <t>Avr</t>
  </si>
  <si>
    <t>Mai</t>
  </si>
  <si>
    <t>Jui</t>
  </si>
  <si>
    <t xml:space="preserve">Etapes / Résultats
</t>
  </si>
  <si>
    <t xml:space="preserve">Si NOUVEAU, fournir une justification
</t>
  </si>
  <si>
    <t>Budget estimé ($)</t>
  </si>
  <si>
    <t>Estimation des recettes ($)</t>
  </si>
  <si>
    <t>Contribution du partenaire ($)</t>
  </si>
  <si>
    <t>BURKINA FASO</t>
  </si>
  <si>
    <t xml:space="preserve">Pr Rasmane SEMDE </t>
  </si>
  <si>
    <t>Responsable</t>
  </si>
  <si>
    <t>Action 2: Excellence en formation</t>
  </si>
  <si>
    <t>Sous-Action 2a:  Recruter des étudiants dans les différents programmes du centre</t>
  </si>
  <si>
    <t>Sous-Action 2b: Assurer la formation doctorale en présentielle, en cotutelle ou codirection</t>
  </si>
  <si>
    <t>Activité 1:  Dispensation de deux modules complémentaires</t>
  </si>
  <si>
    <t>Activité 2: Travaux pratiques de recherches doctorales en laboratoire (manipulation) au niveau du Centre</t>
  </si>
  <si>
    <t>Activité 2: Commodités pour la formation</t>
  </si>
  <si>
    <t>Activité 3: Excursions des étudiants</t>
  </si>
  <si>
    <t>Action 3: Excellence en recherche</t>
  </si>
  <si>
    <t>Action 4: Amélioration de l'environnement et l'attractivité du Centre</t>
  </si>
  <si>
    <t>Sous-Action 4b:Acquerir le matériel de laboratoire pour la recherche scientifique (équipements lourds et consommables)</t>
  </si>
  <si>
    <t>Activité 2: Regroupement à Ouagadougou des étudiants étrangers, boursiers du Centre (Transport)</t>
  </si>
  <si>
    <t xml:space="preserve">Inscription et frais de formation </t>
  </si>
  <si>
    <t xml:space="preserve">Activité 5: Primes d'excellence aux meilleurs étudiants </t>
  </si>
  <si>
    <t xml:space="preserve">Action 5:  Assurer la qualité de la formation et de la recherche </t>
  </si>
  <si>
    <t>Sous-Action 5b: Réaliser des autoévaluations et l'analyse et correction des ecarts pour les acréditations de l'université ( initiale et de suivi)</t>
  </si>
  <si>
    <t>Action 6:   Infrastructures et Equipements</t>
  </si>
  <si>
    <t>Action 7: Partenaires sectoriels, scientifiques et reseautage CEA</t>
  </si>
  <si>
    <t>Sous-Action 7a: Renforcement des capacités des partenaires sectoriels et des partenaires scientifiques</t>
  </si>
  <si>
    <t xml:space="preserve">Frais d'élaboration des modules de formation </t>
  </si>
  <si>
    <t>Activité 3: Appui à l'organisation d'un symposium de sensibilisation et de formation des tradipraticiens par Belwet</t>
  </si>
  <si>
    <t xml:space="preserve">Sous-Action 7b: Acquerir des consommables et des équipements medico-techniques et de laboratoires au profit des partenaires sectoriels </t>
  </si>
  <si>
    <t>Activité 1: Invitation de partenaires académiques à des enseignements destinés aux Doctorants</t>
  </si>
  <si>
    <t>Activité 2: Invitation de partenaires académiques à des enseignements du Master</t>
  </si>
  <si>
    <t>Activité 3: Invitation de partenaires académiques à des enseignements de formations continues</t>
  </si>
  <si>
    <t>Activité 7:  Encadrement des stages pratiques et des doctorants lors des séjours hors CFOREM par les partenaires nationaux ou sous-régionaux</t>
  </si>
  <si>
    <t>Activité 2: Inscription des partenaires sectoriels aux symposiums scientifiques</t>
  </si>
  <si>
    <t>Frais requis pour les réalisation de ces expertises (Forfait)</t>
  </si>
  <si>
    <t xml:space="preserve">Action 8: Gouvernance et Direction du Centre </t>
  </si>
  <si>
    <t>Sous-Action 8a: Organiser les sessions ordinaires et extraordinaires du comité pédagogique du Master et des comités de suivi de thèse de l’Ecole doctorale</t>
  </si>
  <si>
    <t>Activité 1:  Tenue des sessions ordinaires et extraordinaires du comité pédagogique du Master (y compris pour les validations des stages)</t>
  </si>
  <si>
    <t>Sous-Action 8b: Organiser les sessions ordinaires et extraordinaires du comité sectoriel et du comité scientifique international</t>
  </si>
  <si>
    <t>Activité 1: Tenue des sessions ordinaires et extraordinaires du comité sectoriel</t>
  </si>
  <si>
    <t>Activité 2: Tenue des sessions du comité scientifique international en présentiel ou/en visio-conférence</t>
  </si>
  <si>
    <t>Activité 2: Tenue des sessions de l'Ecole Doctorale Sciences et Santé</t>
  </si>
  <si>
    <t>Activité 2 : Appui à l'élaboration des modules de formation sur la R&amp;D des médicaments à base de plantes destinés aux tradipraticiens par Belwet</t>
  </si>
  <si>
    <t>Activité 1: Missions individuelles internes de rédaction des projets d'articles ou de participation d'activités de recherche par les chercheurs et enseignants du Centre</t>
  </si>
  <si>
    <t xml:space="preserve">Sous-Action 3b: Publier les résultats de recheches dans des revues scientifiques internationales (elsevier) </t>
  </si>
  <si>
    <t>Sous-Action 3c: Elaborer des fiches synthetiques de projets de recherche du Centre</t>
  </si>
  <si>
    <t>Sous-Action 4i: Eliminer les déchets produits par les activités d'études et de recherche doctorales du Centre</t>
  </si>
  <si>
    <t>Sous-Action 7d: Réaliser les échanges académiques (mobilité des enseignants, mobilité des étudiants)</t>
  </si>
  <si>
    <t>UJKZ</t>
  </si>
  <si>
    <t>Activité 2:  Paiement de l'entreprise de construction pour tous les travaux</t>
  </si>
  <si>
    <t xml:space="preserve">Sous-Action 3d: Placer les étudiants méritants et le personnel du Centre en stage (3 mois) dans des structures publiques et privées, au niveau national, sous-régional et international </t>
  </si>
  <si>
    <t>Sous-Action 3f: Création et animation, avec l’appui des partenaires scientifiques, d'une revue scientifique sous-régionale à comité de lecture pour la publication des articles scientifiques</t>
  </si>
  <si>
    <t>CEA/ CFOREM</t>
  </si>
  <si>
    <t>Sous-Action 7c: Participer, en collaboration avec les partenaires, à l’organisation et à l'animation des colloques scientifiques organisés au niveau national, sous régional et international</t>
  </si>
  <si>
    <t>Activité 4: Paiement des frais de subsistance et d'assurance (bourse pour la durée de l'étude)</t>
  </si>
  <si>
    <t xml:space="preserve">Activité 4: Cérémonie de sortie de promotion  </t>
  </si>
  <si>
    <t>Août</t>
  </si>
  <si>
    <t xml:space="preserve">Disponibilisation des listes de besoin des partenaires; 
Acquisition des consommables  
</t>
  </si>
  <si>
    <t>Acquisition de matériel informatique et péri-informatique</t>
  </si>
  <si>
    <t>Action 1: Préparation</t>
  </si>
  <si>
    <t xml:space="preserve">Les candidats (formations continues, masters et doctorats) sont selectionnés </t>
  </si>
  <si>
    <t xml:space="preserve">Deux modules complémentaires sont dispensés </t>
  </si>
  <si>
    <t xml:space="preserve">Les travaux pratiques de recherches doctorales en laboratoire (manipulation) sont réalisés au niveau du Centre  </t>
  </si>
  <si>
    <t xml:space="preserve">Les cours théoriques, des travaux dirigés et pratiques sont réalisés par les enseignants hors CFOREM residents à Ouagadougou </t>
  </si>
  <si>
    <t>Activité 2 : Visites de terrain des étudiants aux partenaires sectoriels (Laboratoire Phytofla, Saphyto, SN/SOSUCO)</t>
  </si>
  <si>
    <t xml:space="preserve">Les visites de terrain des étudiants aux partenaires sectoriels (Laboratoire Phytofla, Saphyto, SN/SOSUCO) sont réalisées </t>
  </si>
  <si>
    <t>Les commodités pour la formation sont mises à disposition</t>
  </si>
  <si>
    <t xml:space="preserve">La cérémonie de sortie de promotion est réalisée </t>
  </si>
  <si>
    <t xml:space="preserve">Les missions individuelles internes de rédaction des projets d'articles ou de participation d'activités de recherche par les chercheurs et enseignants du Centre sont organisées </t>
  </si>
  <si>
    <t xml:space="preserve">Les frais de soumission des articles (3 articles par trimestre) sont payés </t>
  </si>
  <si>
    <t xml:space="preserve">Les étudiants méritants du Centre sont placés en stage dans des structures publiques et privées, au niveau national et au niveau sous-régional </t>
  </si>
  <si>
    <t xml:space="preserve">Les activités nouvelles proposées par le plan de marketing et de rentabilité du Centre sont réalisées </t>
  </si>
  <si>
    <t xml:space="preserve">Les réactifs, consommables et petits matériel de laboratoire sont acquis </t>
  </si>
  <si>
    <t xml:space="preserve">Le paiement des frais de subsistance et d'assurance (bourse pour la durée de l'étude) sont assurés </t>
  </si>
  <si>
    <t xml:space="preserve">Le regroupement à Ouagadougou des étudiants étrangers, boursiers du Centre (Transport) est réalisé </t>
  </si>
  <si>
    <t>Sous-Action 4h: Assurer la mise en œuvre de la politique de lutte contre le harcelement sexuel</t>
  </si>
  <si>
    <t>Les journées de sensibilisation des étudiants, du personnel et des autres acteurs concernés sont réalisées</t>
  </si>
  <si>
    <t>Le paiement de l'entreprise de construction pour tous les travaux est assuré</t>
  </si>
  <si>
    <t>Le paiement du cabinet de suivi-contrôle des travaux est assuré</t>
  </si>
  <si>
    <t xml:space="preserve">Les consommables et réactifs pour faciliter l'encadrement des stagiaires, mémorants et doctorants chez les partenaires sont acquis </t>
  </si>
  <si>
    <t xml:space="preserve">L'inscription des étudiants et des membres de l'équipe du centre aux symposiums scientifiques est faite </t>
  </si>
  <si>
    <t>Les étudiants et membres de l'équipe du centre participent aux symposiums sous régionaux et internationaux (déplacement, prise en charge)</t>
  </si>
  <si>
    <t>L'inscription des partenaires sectoriels aux symposiums scientifiques est faite</t>
  </si>
  <si>
    <t xml:space="preserve">Les partenaires sectoriels participent aux colloques organisés à ouagadougou ou dans la sous région (déplacement, prise en charge) </t>
  </si>
  <si>
    <t>L'appui à la tenue des évènements scientifiques (location des salles ou confection des livrets du colloque) est effective</t>
  </si>
  <si>
    <t xml:space="preserve">La  participation de partenaires académiques à des enseignements destinés aux Master est effective </t>
  </si>
  <si>
    <t xml:space="preserve">La participation de partenaires académiques à des enseignements de formations continues est effective </t>
  </si>
  <si>
    <t xml:space="preserve">La participation de partenaires aux sessions des comités des partenaires sectoriels et scientifiques est effective </t>
  </si>
  <si>
    <t xml:space="preserve">Les voyages d'étude de l'Equipe de CFOREM pour la sensibilisation, la formation et les  échanges scientifiques sur les activités de CFOREM sont réalisés </t>
  </si>
  <si>
    <t xml:space="preserve">L'encadrement des stages pratiques et des doctorants lors des séjours hors CFOREM par les partenaires nationaux ou sous-régionaux est effectif </t>
  </si>
  <si>
    <t xml:space="preserve">Des sessions de l'Ecole Doctorale Sciences et Santé sont tenues </t>
  </si>
  <si>
    <t xml:space="preserve">Des sessions ordinaires et extraordinaires du comité sectoriel sont tenues </t>
  </si>
  <si>
    <t xml:space="preserve">Des sessions du comité scientifique international en présentiel ou/en visio-conférence sont tenues </t>
  </si>
  <si>
    <t xml:space="preserve">Les frais de mission  sont payés </t>
  </si>
  <si>
    <t xml:space="preserve">Le carburant (véhicules, groupes électrogènes, déplacement de l'équipe du Centre) est acquis </t>
  </si>
  <si>
    <t>L' abonnement internet au niveau du Centre et le logement des étudiants est effectif , et les crédits de connection internet pour les enseignants sont acquis</t>
  </si>
  <si>
    <t>Sous-Action 2d: Réaliser des cours théoriques, des travaux dirigés et pratiques par les enseignants hors CFOREM</t>
  </si>
  <si>
    <t>Activité 1 : Réalisation de cours théoriques, des travaux dirigés et pratiques par les enseignants hors CFOREM</t>
  </si>
  <si>
    <t xml:space="preserve">Activité 4:  Participation des partenaires sectoriels aux colloques organisés à ouagadougou ou dans la sous région (déplacement, prise en charge, restauration) </t>
  </si>
  <si>
    <t>Activité 5: Appui à la tenue des évènements scientifiques</t>
  </si>
  <si>
    <t>Activité 6:  Voyages des membres de l'Equipe de CFOREM pour la sensibilisation, la formation et échanges scientifiques sur les activités de CFOREM</t>
  </si>
  <si>
    <t>Sous-Action 8c: Participer aux rencontres des CEA et autres rencontres ou manifestations nécesitant la participation de CFOREM</t>
  </si>
  <si>
    <t>Activité 4:  Invitation de partenaires aux sessions des comités de suivi des doctorants et des comités des partenaires sectoriels et scientifiques</t>
  </si>
  <si>
    <t>Activité 3: Participation des étudiants et membres de l'équipe du centre aux symposiums nationaux, sous régionaux et internationaux</t>
  </si>
  <si>
    <t>Pause café, restauration</t>
  </si>
  <si>
    <t>Frais d'inscription</t>
  </si>
  <si>
    <t xml:space="preserve">Billet aller retour des partenaires scientifiques internationaux, partenaires sectoriels et scientifiques; 
Prise en charge des partenaires scientifiques internationaux, partenaires sectoriels et scientifiques, des partenaires nationaux hors Ouagadougou lors de leur séjour à CFOREM; 
Déplacements internes  aller-retour nationaux; pauses café, déjeuners lors du colloque 
</t>
  </si>
  <si>
    <t>Pr YOUL Estelle (Coordonnateur pédagogique)</t>
  </si>
  <si>
    <t>Pr OUEDRAOGO Moussa (Coordonnateur Recherche)</t>
  </si>
  <si>
    <t>Dr SAKIRA Abdoul Karim (Responsable thématique)</t>
  </si>
  <si>
    <t>Dr ZIME/DIAWARA Hermine (Responsable thématique, formation continue)</t>
  </si>
  <si>
    <t>Pr YAMEOGO Josias (Responsable thématique)</t>
  </si>
  <si>
    <t>Remi OUEDRAOGO (Chargé de communication)</t>
  </si>
  <si>
    <t>Mme NACRO / Comptable CEA/CFOREM</t>
  </si>
  <si>
    <t>Dr Salimata TRAORE (Responsable Sauvegardes)</t>
  </si>
  <si>
    <t xml:space="preserve">Dr DORI Daniel (Resp. Accréditation) </t>
  </si>
  <si>
    <t>Pr Rasmané SEMDE (Coordonnateur)</t>
  </si>
  <si>
    <t>Mme Nacro/Konaté Alimatou, CFOREM</t>
  </si>
  <si>
    <t>Vice Président Recherche et coopération international (VP-RCI), UJKZ</t>
  </si>
  <si>
    <t>Restauration, déplacements, Frais tests covid-19</t>
  </si>
  <si>
    <t>Hébergement, restauration, déplacement, Frais tests covid-19</t>
  </si>
  <si>
    <t>Déplacement, prises en charge hébergement, restauration lors du collogues, Frais tests covid-19</t>
  </si>
  <si>
    <t>Dr SOMBIE B. Charles  (Responsable partenaire)+(Sécretariat Master)</t>
  </si>
  <si>
    <t>Dr TOE Natacha (Resp. Valorisation économique)</t>
  </si>
  <si>
    <t>Demba TALL (Gestionnaire projet)</t>
  </si>
  <si>
    <t xml:space="preserve">L'atelier de formation des enseignants du Centre sur l'élaboration des supports de cours et leur mise en ligne est organisé </t>
  </si>
  <si>
    <t>Des comités semestriels de thèses (en présentiel ou à distance) sont tenues</t>
  </si>
  <si>
    <t>Les dossiers sont receptionnés, les candidats sont selectionnés  et les résultats sont publiés (3 formations continues, 3 Masters, 3 doctorants)</t>
  </si>
  <si>
    <t>EN ($)US</t>
  </si>
  <si>
    <t>EN F CFA</t>
  </si>
  <si>
    <t>Activité 3: Maintenance du matériel pédagogique</t>
  </si>
  <si>
    <t>Activité 7:  Achat de documents scientifiques</t>
  </si>
  <si>
    <t>Les appels à candidature (master, formations continues, doctorat) sont lancés</t>
  </si>
  <si>
    <t xml:space="preserve">Les mémoires des étudiants méritants sont édités </t>
  </si>
  <si>
    <t>Les excursions des étudiants sont organisées</t>
  </si>
  <si>
    <t>X</t>
  </si>
  <si>
    <t>Activité 3 : Frais de soumission des articles (3 articles par trimestre)</t>
  </si>
  <si>
    <t xml:space="preserve">Frais de soumission
</t>
  </si>
  <si>
    <t>Restauration des participants</t>
  </si>
  <si>
    <t>Idem</t>
  </si>
  <si>
    <t>Paiement des frais de soumission du nouveau + frais de maintien de l'ancien brevet à la banque (compte OAPI) - dépôt du reçu de versement au bureau pays OAPI</t>
  </si>
  <si>
    <t>Activité 1 : Organisation de la cérémonie d'inauguration</t>
  </si>
  <si>
    <t>Dr SOMBIE B. Charles (Sécretariat Master, Responsable partenaire)</t>
  </si>
  <si>
    <t>Appui à l'organisation d'un symposium de sensibilisation et de formation des tradipraticiens par Belwet est assuré</t>
  </si>
  <si>
    <t xml:space="preserve">Activité 1:  Inscription des étudiants et des membres de l'équipe du centre aux symposiums scientifiques, </t>
  </si>
  <si>
    <t>Location des salles;  confection de spots publicitaires et de livrets du colloque</t>
  </si>
  <si>
    <t>Frais de mission
Frais de déplacements hors  ouaga (aller/retour), Frais tests covid-19</t>
  </si>
  <si>
    <t xml:space="preserve">La  participation de partenaires académiques t à des enseignements destinés aux Doctorants est effective </t>
  </si>
  <si>
    <t>Sous-Action 7f : Réaliser des expertises pour les partenaires sectoriels</t>
  </si>
  <si>
    <t xml:space="preserve"> Des sessions ordinaires et extraordinaires du comité pédagogique du Master (y compris pour les validations des stages) sont tenues </t>
  </si>
  <si>
    <t xml:space="preserve"> NIADA/TOURE Safiatou, Assistante projet</t>
  </si>
  <si>
    <t xml:space="preserve"> TALL Demba, Gestionnaire projet</t>
  </si>
  <si>
    <t>Sous-Action 8e: Assurer la prise en charge des salaires</t>
  </si>
  <si>
    <t>Sous-Action 8f : Assurer les charges de fonctionnement du Centre</t>
  </si>
  <si>
    <t>Activité 1: Carburant (véhicules, groupes électrogènes, déplacement de l'équipe du Centre)</t>
  </si>
  <si>
    <t>Activité 2: Communications (crédits téléphonique et de connection internet hors centre)</t>
  </si>
  <si>
    <t>CONTRÔLEUR INTERNE CEA/CFOREM</t>
  </si>
  <si>
    <t xml:space="preserve">TOTAL </t>
  </si>
  <si>
    <t>Activité 2: Ateliers d'élaboration, de correction et de validation des projets d'articles scientifiques (1/trimestre)</t>
  </si>
  <si>
    <t xml:space="preserve">Les ateliers de correction et de validation des projets  d'articles scientifiques (1/semestre) sont organisés </t>
  </si>
  <si>
    <t xml:space="preserve">La revue scientifique (version électronique) est régulièrement éditée </t>
  </si>
  <si>
    <t>Sous-Action 3j:  Établir l’écosystème de l’innovation et de l’entrepreneuriat universitaire grâce au renforcement du Bureau de transfert de technologie (BTT)  (RLD5.3)</t>
  </si>
  <si>
    <t>Sous-Action 4d:  Octroyer sur la base d’une selection competitive, des bourses, des aides et des primes de performance aux étudiants, en mettant l’accent sur la regionalisation et le genre</t>
  </si>
  <si>
    <t>Activité 6: Abonnement à des revues scientifiques (ex.: elsevier, scopus, jatpb, ...)</t>
  </si>
  <si>
    <t>Frais divers pour l'implémentation des recommandations des organismes acréditeurs</t>
  </si>
  <si>
    <t>Les soutenances de mémoires et de thèses sont effectives</t>
  </si>
  <si>
    <t>Activité 4 : Soutenance de mémoires et de thèses</t>
  </si>
  <si>
    <t>Les cours théoriques, les travaux dirigés et pratiques sont réalisés par les enseignants hors CFOREM residents à Ouagadougou</t>
  </si>
  <si>
    <t xml:space="preserve">Le mobilier est acquis et installé </t>
  </si>
  <si>
    <t>La cérémonie d'inauguration est organisée</t>
  </si>
  <si>
    <t xml:space="preserve">L'abonnement à des revues scientifiques est réalisé </t>
  </si>
  <si>
    <r>
      <t>Session des comités de suivi des theses (2 passages / étudiant) (10 doctorants en moyenne/an;</t>
    </r>
    <r>
      <rPr>
        <sz val="10"/>
        <color rgb="FFFF0000"/>
        <rFont val="Tw Cen MT"/>
        <family val="2"/>
      </rPr>
      <t xml:space="preserve"> </t>
    </r>
    <r>
      <rPr>
        <sz val="10"/>
        <color theme="1"/>
        <rFont val="Tw Cen MT"/>
        <family val="2"/>
      </rPr>
      <t xml:space="preserve">pause café) </t>
    </r>
  </si>
  <si>
    <t xml:space="preserve">Sous-Action 4c:  Acquerir des équipements pédagogiques (audiovisuel, visio-conférence…) </t>
  </si>
  <si>
    <t>Sous-Action 4f: Assurer l’accès aux ressources documentaires (livres, revues, ressources électroniques …)</t>
  </si>
  <si>
    <t>Sous-Action 7h: Appuyer les partenaires pour l'accompagnement des etudiants en master et PhD pour les analyses entrant dans le cadre de leurs mémoire et thèse</t>
  </si>
  <si>
    <t>Sous-Action 8d: Acquérir les matériels et des consommables de bureau</t>
  </si>
  <si>
    <t xml:space="preserve">Activité 3: Abonnement internet pour l'enseignement/recherche, l'administration  et le logement des étudiants du Centre </t>
  </si>
  <si>
    <t>Sous-Action 8h: Réaliser des audits internes (realiser les audits, rapports d'audits)</t>
  </si>
  <si>
    <t xml:space="preserve">Soumaila OUEDRAOGO/Comptable du projet </t>
  </si>
  <si>
    <t>Le matériel informatique et péri-informatique est acquis au profit du CEA-CFOREM</t>
  </si>
  <si>
    <t xml:space="preserve">Les salaires du personnel recruté sont payés </t>
  </si>
  <si>
    <t>Activité 3: Inscription et formations académiques (durée de l'étude)</t>
  </si>
  <si>
    <t xml:space="preserve">L''Inscription et les formations académiques sont réalisées </t>
  </si>
  <si>
    <t>Couverture médiatique des activités du Centre, organisation de rencontres d'information dans quatre chefs-lieu de région,  contribution à la gestion du site web du Centre et des autres plateformes sociales (Facebook, Linkedin, Twitter, instagram), acquisition de logiciels pour le service de communication</t>
  </si>
  <si>
    <t>Paiement des charges locatives annuelles; gardiennage du bâtiment pendant une année, nettoyage du bâtiment pendant une année</t>
  </si>
  <si>
    <t>Le paiement mensuel de location du bâtiment ainsi que le nettoyage et le gardiennage sont assurés</t>
  </si>
  <si>
    <t xml:space="preserve">Des expertises sont prises en charge au profit des partenaires </t>
  </si>
  <si>
    <t>Activité 1: Sollicitation d'analyses auprès des partenaires nationaux (IRSS, LNSP, Hopitaux, …) et sous-régionaux</t>
  </si>
  <si>
    <t xml:space="preserve">Des analyses sont sollicitées auprès des partenaires nationaux (IRSS, LNSP, Hopitaux, …) et sous-régionaux </t>
  </si>
  <si>
    <t xml:space="preserve">Les crédits de communication (crédits téléphonique et de connection internet hors centre) sont acquis </t>
  </si>
  <si>
    <t xml:space="preserve">Les assurances (batiment, materiel technique, véhicules, santé) sont faites </t>
  </si>
  <si>
    <t xml:space="preserve">Les entretiens (véhicules, batiment, équipement, matériel) sont réalisés </t>
  </si>
  <si>
    <t xml:space="preserve">Les frais de représentation (restauration des invités et autres partenaires) sont payés  </t>
  </si>
  <si>
    <t xml:space="preserve">Les frais de tenue du compte sont payés </t>
  </si>
  <si>
    <t xml:space="preserve">Les frais d'expédition, de transports et de transits d'échantillons et colis (FEDEX, DHL, …) sont payés </t>
  </si>
  <si>
    <t>Activité 2: Rapports: financier, PPM et PTAB</t>
  </si>
  <si>
    <t xml:space="preserve">Les rapports : financier, PPM, PTBA sont réalisés </t>
  </si>
  <si>
    <t>Les attestations et rapports de formation des membres de la cellule de veille et d’appui au montage de projets et des responsables</t>
  </si>
  <si>
    <t>Le projet de plan stratégique d’attractivité régionale est disponible</t>
  </si>
  <si>
    <t>Le plan stratégique d’attractivité régionale est validé</t>
  </si>
  <si>
    <t>Le suivi-évaluation de la mise en œuvre du plan est assuré</t>
  </si>
  <si>
    <t xml:space="preserve">Activité 2: Former trois membres de la cellule aux règles et pratiques de montage de projets </t>
  </si>
  <si>
    <t>Frais de formation de trois personnes dans 3 universités des pays du nord (Belgique, Canada et USA) sur la veille et le montage des dossiers d’appel à projet ; frais de mission des trois personnes,  billets d'avion aller/retour</t>
  </si>
  <si>
    <t>Activité 1: Paiement des salaires du personnel recruté</t>
  </si>
  <si>
    <t>Activité 4: Sensibiliser/former les responsables des UFR, des Laboratoires et des équipes au fonctionnement de la cellule d’appui</t>
  </si>
  <si>
    <t>Les responsables des UFR, des Laboratoires  et des équipes sont sensibilisés/formés au fonctionnement de la cellule d’appui</t>
  </si>
  <si>
    <t xml:space="preserve">Activité 6: Réaliser une cartographie des infrastructures et équipements de recherche de l’Université Joseph Ki-Zerbo	</t>
  </si>
  <si>
    <t xml:space="preserve">Activité 3 : Valider le plan stratégique en atelier avec les acteurs </t>
  </si>
  <si>
    <t>Activité 4 : Assurer le suivi-évaluation de la mise en œuvre du plan (prendre un acte de mise en place du comité qui en aura la charge)</t>
  </si>
  <si>
    <t>Pause café, restauration des participants lors des réunions</t>
  </si>
  <si>
    <r>
      <t>Management des travaux de la thèse;  
Securité et bonnes pratiques au laboratoire de recherche en science du medicament; Pause-café pour 35 personnes en moyenne pendant 2</t>
    </r>
    <r>
      <rPr>
        <sz val="10"/>
        <color rgb="FFFF0000"/>
        <rFont val="Tw Cen MT"/>
        <family val="2"/>
      </rPr>
      <t xml:space="preserve"> </t>
    </r>
    <r>
      <rPr>
        <sz val="10"/>
        <color theme="1"/>
        <rFont val="Tw Cen MT"/>
        <family val="2"/>
      </rPr>
      <t xml:space="preserve">jours
</t>
    </r>
  </si>
  <si>
    <r>
      <t xml:space="preserve">
Carburant (A/R) </t>
    </r>
    <r>
      <rPr>
        <b/>
        <sz val="10"/>
        <rFont val="Tw Cen MT"/>
        <family val="2"/>
      </rPr>
      <t xml:space="preserve">
</t>
    </r>
    <r>
      <rPr>
        <sz val="10"/>
        <rFont val="Tw Cen MT"/>
        <family val="2"/>
      </rPr>
      <t xml:space="preserve">Restauration pour 35 participants
Hebergement pour 35 participants
Prise en charge du chauffeur
</t>
    </r>
  </si>
  <si>
    <r>
      <t>Prise en charge des participants et du formateur;   
Fournitures de bureau; 
Restauration;  
Location de salles;  
Carburant</t>
    </r>
    <r>
      <rPr>
        <sz val="10"/>
        <color rgb="FFFF0000"/>
        <rFont val="Tw Cen MT"/>
        <family val="2"/>
      </rPr>
      <t xml:space="preserve"> </t>
    </r>
  </si>
  <si>
    <r>
      <t xml:space="preserve">Prise en charge des participants;   
Fournitures </t>
    </r>
    <r>
      <rPr>
        <sz val="10"/>
        <rFont val="Tw Cen MT"/>
        <family val="2"/>
      </rPr>
      <t>de bureau;</t>
    </r>
    <r>
      <rPr>
        <sz val="10"/>
        <color rgb="FFFF0000"/>
        <rFont val="Tw Cen MT"/>
        <family val="2"/>
      </rPr>
      <t xml:space="preserve"> </t>
    </r>
    <r>
      <rPr>
        <sz val="10"/>
        <color theme="1"/>
        <rFont val="Tw Cen MT"/>
        <family val="2"/>
      </rPr>
      <t xml:space="preserve">
Restauration;  
Location de salles;                                                                               Carburant. 
Soit 4 mini ateliers de correction et de validation des articles </t>
    </r>
  </si>
  <si>
    <t xml:space="preserve">Billet aller retour (au niveau régional);  Prise en charge au niveau regional pour les étudiants ; Frais de laboratoire au niveau regional; transport aller retour (au niveau national - hors ouaga),  frais au niveau national (national); Frais de laboratoire (au niveau national - hors ouaga); Frais d'assurance pour les stages de 02 étudiants burkinabè par an </t>
  </si>
  <si>
    <t xml:space="preserve">Le paiement du cabinet de suivi-contrôle des travaux est assuré </t>
  </si>
  <si>
    <t xml:space="preserve">Activité 1:  Exécution/prise en charge d'expertises au profit des partenaires </t>
  </si>
  <si>
    <t>Site web configuré, animé et les enseignants et étudiants formés à son utilisation.</t>
  </si>
  <si>
    <t>Le site web est configuré, animé et les  enseignants et étudiants formés à son utilisation.</t>
  </si>
  <si>
    <t>Activité 1: Lancement des appels à candidature (master, formations continues, doctorat)</t>
  </si>
  <si>
    <t xml:space="preserve"> TALL Demba, Gestionnaire de projet CFOREM, KOITA Wenceslas (Chargé desuivi- évaluation)</t>
  </si>
  <si>
    <t xml:space="preserve"> TALL Demba, Gestionnaire de projet CFOREM et DRH/ UJKZ</t>
  </si>
  <si>
    <t xml:space="preserve">Activité 2: Frais de mission </t>
  </si>
  <si>
    <t>Activité 1: Acquisition des consommables et réactifs pour faciliter l'encadrement des stagiaires, mémorants et doctorants chez les partenaires</t>
  </si>
  <si>
    <t>Le matériel lourd de laboratoire pour les travaux des doctorants est acquis et installé</t>
  </si>
  <si>
    <t>l'atelier de validation du rapport est tenu</t>
  </si>
  <si>
    <t>Sous-Action 6b:  Construction du Batiment CFOREM :  fondations et RDC, R+1, R+2, R+3, Toits</t>
  </si>
  <si>
    <t>Le laboratoire est équipé en en groupes électrogènes et en onduleurs de grande capacité, en ascenceur et en chambres froides</t>
  </si>
  <si>
    <t xml:space="preserve">Conception et impression des supports de communication (affiches, dépliants) par type de formation; 
Conception des supports de communication (spot); 
Diffusion des appels à candidature dans la presse ecrite; 
Diffusion des spots publicitaires à la television (chaine sous-regionale). </t>
  </si>
  <si>
    <t>Carburant (A/R) 
Restauration 
Hebergement 
Prise en charge du chauffeur</t>
  </si>
  <si>
    <t>Cours theoriques Professeur titulaire; 
Travaux pratiques / Travaux dirigés Professeur titulaire; 
Cours theoriques MCA; 
Travaux pratiques / Travaux dirigés MCA; 
Cours theoriques MA 
Travaux pratiques / Travaux dirigés MA 
Cours theoriques Assistants 
Travaux pratiques / Travaux dirigés MA 
Cours theoriques Professionnels 
Travaux pratiques / Travaux dirigés professionnels</t>
  </si>
  <si>
    <t xml:space="preserve">Prise en charge des participants;   
Fournitures de bureau; 
Restauration;  
Location de salles;                                                                               Carburant. </t>
  </si>
  <si>
    <t>Prise en charge participants déplacés A; 
Transport (avion, car); 
Pause café renforcé, Frais tests covid-19                                                         Soit 04 missions individuelles de trois enseignants chercheurs /mission.</t>
  </si>
  <si>
    <t xml:space="preserve">Activité 1: Placer au moins sept (07) étudiants du Centre en stage dans des structures publiques ou privées, au niveau national et au niveau sous-régional </t>
  </si>
  <si>
    <t>Sous-Action 3e: Organiser en collaboration avec les partenaires scientifiques, des travaux de recherche des doctorants et des mémorants</t>
  </si>
  <si>
    <t>(HPLC, système d'enrobage, réfractomètre, microscopie, ….)</t>
  </si>
  <si>
    <t xml:space="preserve">Reception et traitement administratif des dossiers (pauses café et repas pour 10 personnes); 
Evaluation des dossiers et des protocoles des candidats à l'inscription doctorale par des experts rapporteurs; 
Evaluation technique définitive des dossiers de candidatures : formations continues, Master, doctorat (pauses café et repas pour 20 personnes); 
Informations des candidats retenus et soutien administratif pour leurs démarches d'nscriptions ( (10 PhD, 25 masters, 60 certificats en moyenne/an).  </t>
  </si>
  <si>
    <t>Observations :</t>
  </si>
  <si>
    <t>Activité 5 : Acquisition des réactifs, consommables et petits matériel de laboratoire</t>
  </si>
  <si>
    <t>Sous-Action 6c: Réaliser les finitions toitures, enduits, ouvertures, peinture, carreaux, installation électrique, plomberie, internet, circuits de gaz, air conditionnée, ventillation centrale, extraction d'air, …</t>
  </si>
  <si>
    <t>Sous-Action 6d : Recrutement d'un equipementier pour organiser l'équipement de la nouvelle infrastructure du Centre</t>
  </si>
  <si>
    <t>Sous-Action 6e: Equiper le bâtiment en groupes électrogènes, en énergie solaire, en ascenseurs, chambres froides</t>
  </si>
  <si>
    <t>Activité 6g : Inaugurer l'infrastucture nouvelle, sous la présidence des Ministres chargés de la santé et de l'enseignement supérieur et de la recherche</t>
  </si>
  <si>
    <t>Activité 1 :  Sélection des candidats (formations continues, masters et doctorats)</t>
  </si>
  <si>
    <t>Cours theoriques Professeur titulaire Travaux pratiques / Travaux dirigés Professeur titulaire 
Cours theoriques MCA 
Travaux pratiques / Travaux dirigés MCA 
Cours theoriques MA 
Travaux pratiques / Travaux dirigés MA 
Cours theoriques Assistants 
Travaux pratiques / Travaux dirigés A 
Cours theoriques Professionnels 
Travaux pratiques / Travaux dirigés professionnels</t>
  </si>
  <si>
    <t>Activité 3 : Edition de mémoires et de thèses pour les étudiants</t>
  </si>
  <si>
    <t>Sous-Action 2e:  Réaliser des formations continues certifiées de courte durée</t>
  </si>
  <si>
    <t>MONTANT TOTAL DES REVENUS GENERÉS</t>
  </si>
  <si>
    <t>Des équipements pédagogiques numériques (ordinateurs, vidéoprojecteurs, plate-forme de montage vidéo, vidéoconférence)  sont acquis au profit du Centre de formation des enseignants-chercheurs de l'UJK-Z</t>
  </si>
  <si>
    <t>Une cartographie des infrastructures et équipements de recherche de l’Université Joseph Ki-Zerbo est disponible</t>
  </si>
  <si>
    <t>Janvier 2023-décembre 2023</t>
  </si>
  <si>
    <t>Activité 1: Atelier de formation des enseignants du Centre sur l'élaboration des supports de cours et de leur mise en ligne</t>
  </si>
  <si>
    <t xml:space="preserve">Activité 2: Accompagner les projets retenus des étudiants et des enseignants pour leur maturation   </t>
  </si>
  <si>
    <t xml:space="preserve">Sous-Action 3g:   Developper l'écosystème innovation / entreprenariat à travers un programme d’innovation et d’entrepreneuriat développé et offert  pour les étudiants et les membres du corps professoral </t>
  </si>
  <si>
    <t>Activité 1: Assurer l'animation de la revue scientifique sous régionale créée</t>
  </si>
  <si>
    <t>Activité 1 : Aquisition et installation du mobilier (bureau, laboratoire, bibliothèque, pharmacie expérimentale)</t>
  </si>
  <si>
    <t>Activité 1 :  Equipement du batiment et son laboratoire en groupes électrogènes, en plaques solaires et en onduleurs de grande capacité, en ascenceur et en chambres froides</t>
  </si>
  <si>
    <r>
      <t>Activité 5: Voyages</t>
    </r>
    <r>
      <rPr>
        <sz val="10"/>
        <color rgb="FFFF0000"/>
        <rFont val="Tw Cen MT"/>
        <family val="2"/>
      </rPr>
      <t xml:space="preserve"> </t>
    </r>
    <r>
      <rPr>
        <sz val="10"/>
        <color theme="1"/>
        <rFont val="Tw Cen MT"/>
        <family val="2"/>
      </rPr>
      <t>d'appui de CFOREM chez les partenaires sectoriels et scientifiques</t>
    </r>
  </si>
  <si>
    <t xml:space="preserve">des voyagse d'appui de CFOREM sont réalisés  chez les partenaires sectoriels et scientifiques </t>
  </si>
  <si>
    <t xml:space="preserve">Activité 1: Acquisition de matériel informatique et péri-informatique au profit du CEA-CFOREM </t>
  </si>
  <si>
    <t xml:space="preserve">Il s'agit des salaires du Gestionnaire de projet, du  
Controleur interne, du Comptable
 et de la Serétaire de direction                            </t>
  </si>
  <si>
    <t>Activité 6: Frais de représentation (restauration des invités et autres partenaires)</t>
  </si>
  <si>
    <t>Activité 7: Frais de tenue du compte</t>
  </si>
  <si>
    <t>Activité 8: Animation et parametrage du site web et de la plateforme E-learning du Centre</t>
  </si>
  <si>
    <t>Activité 9: Frais d'expédition, de transports et de transits d'échantillons et colis (FEDEX, DHL, …)</t>
  </si>
  <si>
    <t>Montant en F CFA</t>
  </si>
  <si>
    <t>Activité 1 : Réalisation de cours théoriques, des travaux dirigés et pratiques par les enseignants hors CFOREM resident à Ouagadougou</t>
  </si>
  <si>
    <r>
      <t xml:space="preserve">Restauration/jour 
</t>
    </r>
    <r>
      <rPr>
        <sz val="10"/>
        <rFont val="Tw Cen MT"/>
        <family val="2"/>
      </rPr>
      <t xml:space="preserve">Communication  </t>
    </r>
  </si>
  <si>
    <t xml:space="preserve">Les supports sont acquis auprès des enseignants hors du Centre </t>
  </si>
  <si>
    <t>Activité 1: assurer la tenue semestrielle des comités de thèses (en présentiel ou à distance)</t>
  </si>
  <si>
    <t>Activité 1:Réaliser un (01) stage de formation dans un bureau de transfert de technologie (BTT) dans une université de l'espace hors d'Afrique (exemple Belgique ou Canada) au bénéfice de trois acteurs de l'UJKZ dont deux du CEA-CFOREM (RLD 5.3)</t>
  </si>
  <si>
    <t xml:space="preserve">Activité3:Soumettre les dossiers d'invention/innovation auprès de l'OAPI pour l'obtention des brevets et assurer le suivi </t>
  </si>
  <si>
    <t>Sous-Action 5d: se soumettre à l'évaluation externe pour l'accréditation de l'UJKZ</t>
  </si>
  <si>
    <t>Activité 1:  Assurer le respect des politiques de sauvegardes sociales et environnementales lors de la construction</t>
  </si>
  <si>
    <t>le respect des politiques de sauvegardes sociales et environnementales  est assurélors de la construction</t>
  </si>
  <si>
    <t>Activité 2 : Validation des spécifications techniques et de l'organisation des installations des équipements</t>
  </si>
  <si>
    <t>Activité 1 : Recrutement d’un consultant équipementier pour définir et organiser les besoins en équipement de la nouvelle infrastructure</t>
  </si>
  <si>
    <t>Activité 1. Elaborer un référentiel interne d'évaluation des UFR et instituts de l'UJKZ</t>
  </si>
  <si>
    <t>Activité 2. Elaborer un référentiel interne d'évaluation des Ecoles doctorales de l'UJKZ</t>
  </si>
  <si>
    <t>Activité 3. Valider les référentiels internes d'évaluation des UFR et instituts et Ecoles doctorales de l'UJKZ</t>
  </si>
  <si>
    <t xml:space="preserve">Activité 4. Organiser l'évaluation interne des écoles doctorales de l'UJKZ  </t>
  </si>
  <si>
    <t xml:space="preserve"> Un référentiel interne d'évaluation des UFR et instituts de l'UJKZ est disponible</t>
  </si>
  <si>
    <t>Un référentiel interne d'évaluation des Ecoles doctorales de l'UJKZ est élaborée</t>
  </si>
  <si>
    <t>Les référentiels internes d'évaluation des UFR et instituts et Ecoles doctorales de l'UJKZ sont validés</t>
  </si>
  <si>
    <t>L'évaluation interne des écoles doctorales de l'UJKZ est oragnisée</t>
  </si>
  <si>
    <t>L'évaluation externe pour l'accréditation de l'université est réalisée</t>
  </si>
  <si>
    <t>Paiement des frais d'évaluation; Transport billet aller-retour des évaluateurs, frais de mission des évaluateurs ( hebergement et restauration pendant 5 jours, restauration pause-café pour 40 personnes pendant 5 jours</t>
  </si>
  <si>
    <t xml:space="preserve">Organisation d'une session de formation délocalisée de 30 personnes pendant 5 jours à partir du manuel élaboré. Le budget prend en compte la restauration, l'hebergement, le déplacement (carburant) et la location de salle </t>
  </si>
  <si>
    <t>2023 Y3Q1</t>
  </si>
  <si>
    <t>2023Y3Q2</t>
  </si>
  <si>
    <t>2023 Y3Q3</t>
  </si>
  <si>
    <t>2023 Y3Q4</t>
  </si>
  <si>
    <t xml:space="preserve">Activité 3 : Mise en œuvre des activités de marketing et de rentabilité du Centre identifiées par le nouveau plan marketing </t>
  </si>
  <si>
    <t xml:space="preserve">MONTANT TOTAL DU PTAB 2023 ALLOUÉ AUX ACTIVITÉS AVEC LES PARTENAIRES </t>
  </si>
  <si>
    <t xml:space="preserve">MONTANT TOTAL DU PTAB 2023 SANS LA PART ALLOUÉE AUX PARTENAIRES </t>
  </si>
  <si>
    <t xml:space="preserve">TAUX DU MONTANT TOTAL DU PTAB 2023 ALLOUÉ AUX ACTIVITÉS AVEC LES PARTENAIRES </t>
  </si>
  <si>
    <t>MONTANT TOTAL DU PTAB 2023 AVEC LA PART ALLOUÉE AUX PARTENAIRES</t>
  </si>
  <si>
    <t>L' achat de documents scientifiques est effectif</t>
  </si>
  <si>
    <t>Activité 4: Mise en oeuvre du plan d'action correctif du CEA-CFOREM</t>
  </si>
  <si>
    <t xml:space="preserve">Restauration (pause-café renforcée pour 25 personnes) </t>
  </si>
  <si>
    <t>Activité 3: Paiement du cabinet de suivi-contrôle et qualité des travaux</t>
  </si>
  <si>
    <t>Prise en charge; 
Transport;  
Localion salle;  
Restauration</t>
  </si>
  <si>
    <t>Frais d'encadrement du stagiaire par les maîtres de stage des étudiants du Master au Burkina Faso (20 étudiants an, 3 mois par an) 
 Frais d'encadrement du stagiaire par les maîtres de stage des étudiants dans la sous-région (10 étudiants an, 3 mois par an) 
 Frais d'encadrement des doctorants pour les partenaires académiques hors de CFOREM (5 étudiants/an, 6 mois / an)</t>
  </si>
  <si>
    <t>Activité 5: Entretiens (véhicules, équipement, matériel)</t>
  </si>
  <si>
    <t>Activité 4 : Assurances (materiel technique, véhicules, santé, voyage)</t>
  </si>
  <si>
    <t>Activité 1: Organiser un atelier de traitement et d'analyse des données de l'auditeur interne</t>
  </si>
  <si>
    <t>Le traitement et l'analyse des données pour l'audit interne sont réalisés</t>
  </si>
  <si>
    <t>Activité 2: Organiser un atelier d'élaboration des rapports de suivi de mise en œuvre des recommandations des audits internes et externes antérieurs et supervision</t>
  </si>
  <si>
    <t>Activité 3: Organiser des ateliers d'amendement et de validation des rapports de l'audit interne et de supervision par le comité d'audits</t>
  </si>
  <si>
    <t>Des ateliers d'amendement et de validation des rapports de l'audit interne et de supervision par le comité d'audits sont organisés</t>
  </si>
  <si>
    <t>Un atelier d'élaboration des rapports de suivi de mise en œuvre des recommandations des audits internes et externes antérieurs et supervision est organisé</t>
  </si>
  <si>
    <t>Activité 5: Acquérir des équipements pédagogiques numériques (ordinateurs, vidéoprojecteurs, plate-forme de montage vidéo, vidéoconférence) au profit de l'UJK-Z</t>
  </si>
  <si>
    <t>Du matériel péri-informatique (vidéo-projecteur, imprimante couleur, licences anti virus) est acquis au profit de la DEPS/UJKZ</t>
  </si>
  <si>
    <t>Activité 1: Journées de sensibilisation des étudiants en master et doctorat et les personnels de l'Université</t>
  </si>
  <si>
    <t xml:space="preserve">Identification  du/des formateurs qui va intervenir au cours des sessions de formation ;
Paiement de la prestation du/des formateurs pour les sessions ;
Tenue des sessions de formation (prise en charge des participants,  transport, location salles, restauration) </t>
  </si>
  <si>
    <t>des sessions de formation sur les violences basées sur le genre sont organisées  au profit des étudiants en master et doctorat et les personnels de l'Université</t>
  </si>
  <si>
    <t xml:space="preserve">Prise en charge de 24 participants ( hebergement et restauration);     
Location de salle;                                                                                   Pause-café                                                                                       Carburant. 
</t>
  </si>
  <si>
    <t xml:space="preserve">Prise en charge de 57 participants ( hebergement et restauration);     
Location de salle;                                                                                   Pause-café                                                                                       Carburant. 
</t>
  </si>
  <si>
    <t>le respect des politiques de sauvegardes sociales et environnementales est assuré lors de la construction</t>
  </si>
  <si>
    <t>Marché au temps passé de l'année 2022 dont le paiement s'effectuera en 2023</t>
  </si>
  <si>
    <t xml:space="preserve">Le  plan d'action correctif du CEA-CFOREM est mis en œuvre </t>
  </si>
  <si>
    <t>L'appui à l'élaboration des modules de formation sur la R&amp;D des médicaments à base de plantes destinés aux tradipraticiens par Belwet est assuré</t>
  </si>
  <si>
    <t>Activité 1:  PTAB, PPM et autres documents de planifications</t>
  </si>
  <si>
    <t xml:space="preserve"> Le PTAB , le PPM 2023 et autres documents de planifications sont élaborés </t>
  </si>
  <si>
    <t xml:space="preserve">Activité 1: Missions et frais de formation des membres du CFOREM ( Soit 10 participants) </t>
  </si>
  <si>
    <t xml:space="preserve">Les missions de formation de 10 membres du CFOREM sont réalisées </t>
  </si>
  <si>
    <t>Activité 2: Acquérir du matériel péri-informatique (vidéo-projecteur, imprimante couleur, licences anti virus) pour la DEPS/UJKZ</t>
  </si>
  <si>
    <t xml:space="preserve"> Le PS 2024-2028 assorti de son Plan d'Action Triennal Glissant (PATG) est élaboré</t>
  </si>
  <si>
    <t>Activité 1: Élaborer le Plan Stratégique (PS) 2024-2028 assorti de son Plan d'Action Triennal Glissant (PATG)</t>
  </si>
  <si>
    <t>Activité nouvelle proposée par l'Université Joseph KI-ZERBO dans le cadre de l'accréditation institutionnelle RLD 7.3</t>
  </si>
  <si>
    <t>Les dossiers sont soumis à l'OAPI et le suivi est assuré</t>
  </si>
  <si>
    <t>Activité 2: Paiement mensuel de location du bâtiment et des charges locatives afin de subventionner le loyer des étudiants (y compris gardiennage, nettoyage)</t>
  </si>
  <si>
    <t>Sous-Action 6f: Equiper le bâtiment en mobilier de bureau et mobiler de laboratoire et en matériel informatique et péri-informatique</t>
  </si>
  <si>
    <t xml:space="preserve">TdR de l' acquisition des biens, manifesttion d'intérêt, passation et execution </t>
  </si>
  <si>
    <t xml:space="preserve">TdR de la prestation,  manifesttion d'intérêt, passation et execution </t>
  </si>
  <si>
    <t>La maintenance du matériel pédagogique est assurée au cours de l'année par le prestataire retenu</t>
  </si>
  <si>
    <t>Montant total du contrat de construction du siège</t>
  </si>
  <si>
    <t>En F CFA</t>
  </si>
  <si>
    <t>Montant total de l'avance payé à l'entreprise en charge des travaux de construction en novembre 2022</t>
  </si>
  <si>
    <t>Reliquat du montant du contrat de construction du siège</t>
  </si>
  <si>
    <t>Montant total du reliquat + 15% d'inflation</t>
  </si>
  <si>
    <t>en US dollar</t>
  </si>
  <si>
    <t>1USD</t>
  </si>
  <si>
    <t>CFA</t>
  </si>
  <si>
    <t>Montant travaux gros œuvres d'une part et travaux de finition d'autre part</t>
  </si>
  <si>
    <t>TRAVAUX DE CONSTRUCTION DU SIÈGE</t>
  </si>
  <si>
    <t>SUIVI CONTRÔLE DES TRAVAUX DE CONSTRUCTION DU SIÈGE+PRESTATIONS DU LNBTP ET SUIVI ARCHITECTURAL</t>
  </si>
  <si>
    <t xml:space="preserve">Montant total du contrat </t>
  </si>
  <si>
    <t>Montant suivi des travaux gros œuvres d'une part et d'autre part travaux de finition d'autre part</t>
  </si>
  <si>
    <t>Paiement progressif des prestations du cabinet en charge du suivi-contrôle  au regard de l'évolution des travaux relatifs aux fondations et RDC, R+1, R+2, R+3, Toits</t>
  </si>
  <si>
    <t xml:space="preserve">Paiement par tranches progressive des décomptes de l'entreprise  au regard de l'évolution des travaux après certification du cabinet de suivi-contrôle </t>
  </si>
  <si>
    <t>Paiement progressif des prestations du cabinet en charge du suivi-contrôle  au regard de l'évolution des travaux relatifs aux finitions toitures, enduits, ouvertures, peinture, carreaux, installation électrique, plomberie, internet, circuits de gaz, air conditionnée, ventillation centrale, extraction d'air</t>
  </si>
  <si>
    <t>Suivi du chantier par la Responsable en charge de la sauvegarde environementale et sociale du Centre en relation avec le point focal de l'entreprise, élaboration de rapports périodiques faisant l'état des lieux des recommandations et le suivi de leur mise en oeuvre</t>
  </si>
  <si>
    <t>Ceremonie sur le site avec plus d'une centaine d'invités, médiatisée par quelques grands journaux de la presse écrite, des chaînes de télévision, un publ-reportage, un coktail</t>
  </si>
  <si>
    <t xml:space="preserve">Atelier de validation du rapport du consultant avec l'ensemble des acteurs concernés; </t>
  </si>
  <si>
    <t xml:space="preserve">Prise en charge des participants ( hebergement et restauration);     
Location de salle;                                                                                   Pause-café                                                                                       Carburant. </t>
  </si>
  <si>
    <t xml:space="preserve">TdR de l' acquisition du bien,  manifesttion d'intérêt, passation et execution </t>
  </si>
  <si>
    <t xml:space="preserve">Restauration des invités et autres partenaires de passage au Centre </t>
  </si>
  <si>
    <t>Cette activité permet d'allouer un montant prévisionnel permettant de prendre en charge les frais d'expédition, de transports et de transits d'échantillons et colis du Centre</t>
  </si>
  <si>
    <t xml:space="preserve">Élaboration du PTAB et du PPM 2024 (Prise en charge des participants ( hebergement et restauration);     
Location de salle;                                                                                   Pause-café                                                                                       Carburant. </t>
  </si>
  <si>
    <t>"Prise en charge des participants ( hebergement et restauration);     
Location de salle;                                                                                   Pause-café                                                                                       Carburant. "                                                                                         Soit quatre (04) ateliers au total</t>
  </si>
  <si>
    <t>TDR de l'activité; constitution de l'équipe de travail;  Prise en charge des participants ( hebergement et restauration);     
Location de salle;                                                                                   Pause-café                                                                                       Carburant. "</t>
  </si>
  <si>
    <t xml:space="preserve">Élaboration des rapports périodiques de suivi-financier,  de mise en oeuvre du PTAB et du PPM au cours de l'année 2023 (Prise en charge des participants ( hebergement et restauration);     
Location de salle;                                                                                   Pause-café                                                                                       Carburant. </t>
  </si>
  <si>
    <t>Activité 2 :Aquérir et installer du mobilier pour l'équipement de bureaux, des laboratoires, de la bibliothèque et de la pharmacie expérimentale</t>
  </si>
  <si>
    <t>Activité nouvelle proposée par le CENTRE suite à la répartition du fond additionnel qui a permis la création d'un jalon supplémentaire de 300 000 dollars au niveau  du RLD 4.3_ infrastructures. 75 000 USD affecté à cette rubrique</t>
  </si>
  <si>
    <t>Activité nouvelle proposée par le CENTRE suite à la répartition du fond additionnel qui a permis la création d'un jalon supplémentaire de 300 000 dollars au niveau  du RLD 4.3_ infrastructures.  75 000 USD affecté à cette rubrique</t>
  </si>
  <si>
    <t>TdR , manifestation d'intérêt, passation et execution de la prestation</t>
  </si>
  <si>
    <t>Fournitures de bureau; 
Carburant (A/R); 
Restauration; 
Location des salles pour les cours; 
Prise en charge des membres hors CFOREM du comité d'organisation (chauffeur, …)</t>
  </si>
  <si>
    <t>Signature des contrats avec les enseignants intéressés; 
Récupération et stockage des supports de cours; 
Partage et diffusion auprès des apprenants (forfait).</t>
  </si>
  <si>
    <t xml:space="preserve">Les ateliers d'élaboration et de validation des fiches de projets de recherche du Centre sont organisés </t>
  </si>
  <si>
    <t>Frais d'abonnement de la plateforme d'hébergement (PKP) de la revue</t>
  </si>
  <si>
    <t xml:space="preserve">Grande prime d'excellence  de l'année, prime d'excellence pour l'étudiant major pour la formation continue, primes d'excellence pour les étudiants majors des masters, prime d'excellence pour le premier mémoire de master defendu, prime d'excellence pour la première thèse défendue, prime d'excellence pour le premier article publié dans scopus
</t>
  </si>
  <si>
    <t>Activité 1:  Organisation de sessions de formation sur les violences basées sur le genre au profit des étudiants en master et doctorat et les personnels de l'Université</t>
  </si>
  <si>
    <t xml:space="preserve">Paiement du montant des abonnements à assurer </t>
  </si>
  <si>
    <t xml:space="preserve">Sous-Action 2f: Obtenir les droits d'utilisation et de partage des supports des enseignements réalisés par les formateurs </t>
  </si>
  <si>
    <t xml:space="preserve">Activité 2: Acquérir des supports auprès des enseignants </t>
  </si>
  <si>
    <t>Activité 5 : Reviser les curricula de formation des programmes du master afin de prendre en compte les recommandations des organismes d'accréditation</t>
  </si>
  <si>
    <t>Accompagnement par une structure et le comité de selection des lauréats pour la création (appui à l'élaboration du business modèle, business plan, statut et création d'entreprise) et octroi d'une subvention d'amorçage</t>
  </si>
  <si>
    <t>Activité 3 :Acquerir et installer du matériel pédagogique(vidéoconférence, connection internet, matériel de simulation...)</t>
  </si>
  <si>
    <t>Activité 3: Acquisition de fournitures de bureau et reprographie, de consommables informatiques</t>
  </si>
  <si>
    <r>
      <t xml:space="preserve">Forfait à allouer par mémoire et par thèse </t>
    </r>
    <r>
      <rPr>
        <b/>
        <sz val="10"/>
        <color theme="1"/>
        <rFont val="Tw Cen MT"/>
        <family val="2"/>
      </rPr>
      <t xml:space="preserve"> </t>
    </r>
  </si>
  <si>
    <t xml:space="preserve">Sessions de présentation des protocoles et des résultats des mémoires (une fois par mois) en présence des étudiants; 
Pause café et pause déjeuner pour les 3 sessions (2 jours) de soutenances de mémoires et thèses; 
Déjeuners des membres de jurys de thèses de PhD et les impétrants: frais de mission.
</t>
  </si>
  <si>
    <t>Les curricula de formation des programmes du master sont revisés</t>
  </si>
  <si>
    <t>Activité 1: Ateliers d'élaboration et de validation des fiches de projet de recherche du Centre</t>
  </si>
  <si>
    <t>Au moins trois (03) projets sont selectionnés</t>
  </si>
  <si>
    <t xml:space="preserve">Activité 1: Selectionner pour subvention des projets innovants des étudiants et des enseignants par un comité mis en place par le CFOREM </t>
  </si>
  <si>
    <t>Au moins trois (03 promoteurs de projets bénéficient d'accompagnement et d'un fonds d'amorçage</t>
  </si>
  <si>
    <t>Trois (03) acteurs de l'UJKZ dont deux deux (02) du CEA-CFOREM beneficient d'un stage de formation dans un BTT de l'espace hors Afrique</t>
  </si>
  <si>
    <t>La mission aura pour objectifs de s'inspirer de l'organisation de ce BTT et également de jeter les bases d'une collaboration future à travers l’établissement d’un document de partenariat. Le budget prévoit les frais de mission pour la Belgique/Canada pour trois personnes pendant une semaine</t>
  </si>
  <si>
    <t>Activité 1: Procéder à l'acquisition et à l'installation du matériel lourd de laboratoire (équipements) pour les travaux des doctorants</t>
  </si>
  <si>
    <t>Il s'agira de receptionner les dossiers après la publication de l'appel à candidatures, de procéder à la selection des candidats et de publier les résultats.</t>
  </si>
  <si>
    <t xml:space="preserve">il s'agira de procéder progressivement au regroupement des étudiants étrangers à Ouagadougou par l'acquisition de billets d'avions . PM (cfère aquisition de billets) </t>
  </si>
  <si>
    <t xml:space="preserve">Frais de subsistance;  
Frais de thèse et de mémoire de master;  
Installations des doctorants et Master;  
Assurance doctorant et Master </t>
  </si>
  <si>
    <t xml:space="preserve">Des primes d'excellence sont accordées aux meilleurs étudiants </t>
  </si>
  <si>
    <t>Sous-Action 4g: Rendre disponibles les logements sains, sécurisés, adaptés et financièrement accessibles aux étudiants</t>
  </si>
  <si>
    <t>Activité 5. Réaliser l'évaluation externe pour l'accréditation de l'université</t>
  </si>
  <si>
    <t>Activité 6. Mettre en œuvre les activités résiduelles du plan d'action</t>
  </si>
  <si>
    <t>Ce plan d'action comporte les activités prioritaires résiduelles en 2023 que le CEA-CFOREM s'engage à prendre en charge</t>
  </si>
  <si>
    <t>Les activitésrésiduelles du plan d'action sont mis en œuvre</t>
  </si>
  <si>
    <t>Activité 3: Paiement des cabinets de suivi-contrôle et qualité des travaux</t>
  </si>
  <si>
    <t>Frais de mission
Frais de déplacements hors  Ouaga (aller/retour), Frais tests covid-19</t>
  </si>
  <si>
    <t>Frais de mission
Frais de déplacements hors Ouaga (aller/retour), Frais tests covid-19</t>
  </si>
  <si>
    <t xml:space="preserve">Activité 2: Acquisition de matériel informatique et péri-informatique y compris deux (02) serveurs avec accessoires et back-up au profit de la nouvelle infrastructure du CEA-CFOREM </t>
  </si>
  <si>
    <t>Ordinateurs de bureau (laboratoire, accueil, sécretariat, bibliothèque), pour les enseignants chercheurs et personnel du Centre; Imprimantes (laboratoire, accueil, sécretariat, bibliothèque), serveurs avec accessoires et back-up (nouvelle infrastructure du CA-CFOREM)</t>
  </si>
  <si>
    <t>Fournitures de bureau, matériel de reprographie, consommables impression (cartouches d'encres, rames de papier), antivirus, logiciels, clés USB)</t>
  </si>
  <si>
    <t xml:space="preserve"> Les fournitures de bureau et reprographie et les consommables informatiques sont acquis</t>
  </si>
  <si>
    <t>Activité 1 :  Élaborer le projet de plan stratégique d’attractivité régionale par un cabinet</t>
  </si>
  <si>
    <t>Sous-Action 8k: Opérationnaliser une cellule de veille et de montage de dossiers d’appels à projets financés pour la recherche scientifique à l’Université Joseph KI-ZERBO (RDL7.5)</t>
  </si>
  <si>
    <t>Sous-Action 8l: Rendre disponible un plan stratégique d'attractivité régionale pour augmenter la visibilité et l'attractivité de l'université</t>
  </si>
  <si>
    <t>Sous-Action 8j: Acquérir des billets dans le cadre de la mise en œuvre des activités du Centre</t>
  </si>
  <si>
    <t xml:space="preserve">Frais de formation pays du Nord, de la sous région et du Burkina (restauration et hebergement) 
Frais de mission nationaux (restauration et hebergement) 
Frais de mission pays du Nord (restauration et hebergement) 
</t>
  </si>
  <si>
    <t>Activité 1: Acquérir des billets de voyage</t>
  </si>
  <si>
    <t>Sous-Action 8m : Participation à l’Initiative benchmarking du PASET</t>
  </si>
  <si>
    <t>Billet aller-retour sous région 
Billet aller-retour pays du Nord 
Déplacements hors ouaga (aller/retour); Frais tests covid-19; soit environ 75 billets à 800 000 F CFA en moyenne par billet</t>
  </si>
  <si>
    <t>Des billets de voyage sont acquis par le Centre dansle cadre de la mise en œuvre des activités</t>
  </si>
  <si>
    <t xml:space="preserve">TdR de l'acquisition du bien,  manifesttion d'intérêt, passation et execution </t>
  </si>
  <si>
    <t>Sous-Action 8g : Elaborer les documents de planification et les rapports de mise en œuvre du projets CEA-CFOREM</t>
  </si>
  <si>
    <t>Activité 2: Élaborer le rapport institutionnel 2023 de la Recherche et de la Coopération Scientifique et Technique de l’UJKZ</t>
  </si>
  <si>
    <t>Recruter un consultant ;
Élaborer des projets de canevas types de rapports d’activités de recherche et de coopération pour chercheurs, équipes, laboratoires, centres, écoles doctorales et VP-RCI (Consultant) ;
Organiser un atelier de validation des canevas types de rapports d’activités de recherche et de coopération (50 personnes, 3 jours, Ouagadougou ) ;
Opérationnaliser au sein de la VP-RCI, un système d’information de la recherche à même de compiler et d’agréger en temps réel les données collectées à travers les différents rapports d’activité (Consultant) ;
Organiser un atelier de rédaction du rapport d’activité institutionnel de la Recherche et de la Coopération Scientifique et Technique (20 personnes, 5 jours, Ziniaré) ;
Faire valider le rapport par les instances de l’Université ;</t>
  </si>
  <si>
    <t xml:space="preserve">Le rapport institutionnel 2023 de la Recherche et de la Coopération Scientifique et Technique de l’UJKZ est disponible </t>
  </si>
  <si>
    <t xml:space="preserve">Sous-Action 8i: Renforcer les capacités du personnel de l'Université impliqué dans les activités du Centre </t>
  </si>
  <si>
    <t>Les directeurs et chefs de service de la Vice-présidence en charge des Enseignements et des Innovations Pédagogiques (VP-EIP) de l'UJKZ sont formés en coaching et management</t>
  </si>
  <si>
    <t>Transport, hébergement, restauration des participants lors des rencontres relatives à l'examen de la note de cadrage et  la validation  du document; invitation en présentiel ou virtuel de quelques experts sous-régionaux</t>
  </si>
  <si>
    <t>Accompagnement des étudiants en master et PhD pour les analyse entrant dans le cadre de leurs mémoire et thèse</t>
  </si>
  <si>
    <t>Activité 2: Organiser une session de formation en coaching et management des directeurs et chefs de service de la Vice-présidence en charge des Enseignements et des Innovations Pédagogiques (VP-EIP) de l'UJKZ</t>
  </si>
  <si>
    <t xml:space="preserve">Prise en charge de 20 participants ( hebergement et restauration) pour une session de formation de trois jours; retribution du formateur     
Location de salle;                                                                                   Pause-café                                                                                       Carburant. "                                                                                         </t>
  </si>
  <si>
    <t>Activité 3:  Organiser une session de formation des agents de la Direction des Affaires Académiques, de l'Orintation et de l'InformationI(DAOI) DE l'UJKZ sur la sécurisation des diplômes</t>
  </si>
  <si>
    <t xml:space="preserve">Prise en charge de 18 agents ( hebergement et restauration) pour une session de formation de trois jours; retribution du formateur     
Location de salle;                                                                                   Pause-café                                                                                       Carburant. "                                                                                         </t>
  </si>
  <si>
    <t>Dix (18)agents de la Direction des Affaires Académiques, de l'Orintation et de l'InformationI(DAOI) DE l'UJKZ sont formés sur la sécurisation des diplômes</t>
  </si>
  <si>
    <t>Activité 10: Assurer la caisse des menues dépenses</t>
  </si>
  <si>
    <t>Cette allocation prévisionnelle permet de faire face aux petites dépenses du projet de moins de 25 dollars au cours de l'année</t>
  </si>
  <si>
    <t>Activité 1: Réception administrative des dossiers, sélection des candidats et publication des résultats des bourses</t>
  </si>
  <si>
    <t>Activité 3: Réaliser l'aménagement et la refection du bâtiment de logement des étudiants du Centre</t>
  </si>
  <si>
    <t>Le bâtiment de logement des étudiants du Centre est refectionné</t>
  </si>
  <si>
    <t>Fourniture de plaques par le prestataire selectionné et pose de ces plaques sur les bâtiments de l'Université. Activité qui vient à la suite de la précédente.</t>
  </si>
  <si>
    <t>Activité 6 : Acquisition des réactifs, consommables et petits matériel de laboratoire</t>
  </si>
  <si>
    <t>Activité 2: Acquisition des consommables et réactifs pour faciliter l'encadrement des stagiaires, mémorants et doctorants chez les partenaires</t>
  </si>
  <si>
    <t>Le consultant équipementier est recruté et son rapport est disponible</t>
  </si>
  <si>
    <t>Recrutement de consultant; atelier de validation, pause café restauration, frais de mission, transport, location de salle</t>
  </si>
  <si>
    <r>
      <t>Finalisation et présentation des projets par les étudiants formés - Les projets collectés feront l'objet d'une sélection sur la base des critères validés par un comité (mis en place par une décision du President de l'UJKZ) pour retenir au moins</t>
    </r>
    <r>
      <rPr>
        <sz val="10"/>
        <color rgb="FFFF0000"/>
        <rFont val="Tw Cen MT"/>
        <family val="2"/>
      </rPr>
      <t xml:space="preserve"> </t>
    </r>
    <r>
      <rPr>
        <sz val="10"/>
        <color theme="1"/>
        <rFont val="Tw Cen MT"/>
        <family val="2"/>
      </rPr>
      <t>3 projets); hébergement et restauration des membres du comité + 2 chauffeurs, Pause-café, location de salle et carburant.</t>
    </r>
  </si>
  <si>
    <t>Activité 1: Acquérir et installer un serveur de stockage des données et accessoires et le backup pour le scrétariat général et les directions centrales de l'UJKZ (DEPS, DAF, DRH, etc)</t>
  </si>
  <si>
    <t xml:space="preserve">Unn serveur de stockage des données et accessoires et le backup est acquis et installé pour le scrétariat général et les directions centrales de l'UJKZ (DEPS, DAF, DRH, etc) </t>
  </si>
  <si>
    <t>Le plan d'aménagement de l’UJK-Z est élaborer et validé</t>
  </si>
  <si>
    <t>Sous-Action 8n: Appui à l' élaboration de documents de planification et de rapports de mise en œuvre de l'UJKZ</t>
  </si>
  <si>
    <t>Sous-Action 8o: Communication</t>
  </si>
  <si>
    <t>Proposée par l' université Joseph KI ZERBO dans le cadrede son programme d'activité 2023 en termes de renforcement institutionnel</t>
  </si>
  <si>
    <t>Proposée par université Joseph KI ZERBO dans le cadre du plan d'action de l'IDL7_RLD 7.1</t>
  </si>
  <si>
    <t>Proposée par université Joseph KI ZERBO dans le cadre du plan d'action de l'IDL7_RLD 7.4</t>
  </si>
  <si>
    <t>Proposée par université Joseph KI ZERBO dans le cadre du plan d'action de l'IDL7_ RLD 7.5</t>
  </si>
  <si>
    <t>Proposée par l' université Joseph KI ZERBO dans le cadre de son programme d'activité 2023 en termes de renforcement institutionnel</t>
  </si>
  <si>
    <t>Activité 5 : Organiser la nuit de l’excellence à l’UJKZ (étudiants, enseignants, administratifs)</t>
  </si>
  <si>
    <t>Remise de prix, cocktail, prestations artistiques, location de salle, couverture médiatique de l'activité</t>
  </si>
  <si>
    <t>La nuit de l’excellence à l’UJKZ est organisée</t>
  </si>
  <si>
    <t>Nombre activités</t>
  </si>
  <si>
    <t xml:space="preserve">Activité 7: Fourniture et pose de plaques d'indication sur les bâtiments de l’UJK-Z </t>
  </si>
  <si>
    <t xml:space="preserve">Activité 8 :Élaborer et valider le plan d'aménagement de l’UJK-Z </t>
  </si>
  <si>
    <r>
      <t>Management des travaux de la thèse;  
Securité et bonnes pratiques au laboratoire de recherche en science du medicament; Pause-café pour 35 personnes en moyenne pendant 2</t>
    </r>
    <r>
      <rPr>
        <sz val="10"/>
        <color rgb="FFFF0000"/>
        <rFont val="Tw Cen MT"/>
        <family val="2"/>
      </rPr>
      <t xml:space="preserve"> </t>
    </r>
    <r>
      <rPr>
        <sz val="10"/>
        <color theme="1"/>
        <rFont val="Tw Cen MT"/>
        <family val="2"/>
      </rPr>
      <t>jours</t>
    </r>
  </si>
  <si>
    <t>Sessions de présentation des protocoles et des résultats des mémoires (une fois par mois) en présence des étudiants; 
Pause café et pause déjeuner pour les 3 sessions (2 jours) de soutenances de mémoires et thèses; 
Déjeuners des membres de jurys de thèses de PhD et les impétrants: frais de mission.</t>
  </si>
  <si>
    <t>Activité 4 : Soutenances de mémoires et de thèses</t>
  </si>
  <si>
    <t>Activité 1: Placer  étudiants du Centre (au moins sept 04) en stage dans des structures publiques ou privées, au niveau national, sous-régional et international</t>
  </si>
  <si>
    <t>Frais d'abonnement de la plateforme d'hébergement (PKP) de la revue, travaux de mises à jour</t>
  </si>
  <si>
    <t xml:space="preserve">Activité 1: Sélectionner pour subvention des projets innovants des étudiants et des enseignants par un comité mis en place par le CFOREM </t>
  </si>
  <si>
    <t>Paiement des frais d'évaluation; Transport billet aller-retour des évaluateurs, frais de mission des évaluateurs (hebergement et restauration pendant 5 jours), restauration et pause-café pour 40 personnes pendant 5 jours</t>
  </si>
  <si>
    <t>Activité 5. Réaliser l'évaluation externe sur site pour l'accréditation de l'université</t>
  </si>
  <si>
    <t>Activité 2 : Valider les spécifications techniques et de l'organisation des installations des équipements</t>
  </si>
  <si>
    <t>Activité 1 :  Equiper le batiment et son laboratoire en groupes électrogènes, en plaques solaires et en onduleurs de grande capacité, en ascenceur et en chambres froides</t>
  </si>
  <si>
    <t>Activité 3 : Acquerir et installer du matériel pédagogique (vidéoconférence, connection internet, matériel de simulation...) (nouveau jalon 7)</t>
  </si>
  <si>
    <t>Activité 2 : Aquérir et installer du mobilier pour l'équipement de bureaux, des laboratoires, de la bibliothèque et de la pharmacie expérimentale (nouveau jalon 7)</t>
  </si>
  <si>
    <t xml:space="preserve">Activité3:Soumettre les dossiers d'invention/innovation auprès de l'OAPI et autres organismes de protection d'inventions (brevets) ou de marques et assurer le suivi </t>
  </si>
  <si>
    <t>Grande prime d'excellence  de l'année, prime d'excellence pour l'étudiant major pour la formation continue, primes d'excellence pour les étudiants majors des masters, prime d'excellence pour le premier mémoire de master defendu, prime d'excellence pour la première thèse défendue, prime d'excellence pour le premier article publié dans scopus</t>
  </si>
  <si>
    <t>L'atelier de validation du rapport est tenu</t>
  </si>
  <si>
    <t xml:space="preserve">Billet aller retour des partenaires scientifiques internationaux, partenaires sectoriels et scientifiques; 
Prise en charge des partenaires scientifiques internationaux, partenaires sectoriels et scientifiques, des partenaires nationaux hors Ouagadougou lors de leur séjour à CFOREM; 
Déplacements internes  aller-retour nationaux; pauses café, déjeuners lors du colloque </t>
  </si>
  <si>
    <t>Activité 1: Sollicitation d'analyses auprès des partenaires nationaux (IRSS, LNSP, Hopitaux, …), sous-régionaux et internationaux</t>
  </si>
  <si>
    <t>Activité 6: Frais de représentation (restauration et autres comodités des invités et autres partenaires)</t>
  </si>
  <si>
    <t xml:space="preserve">Frais de formation pays du Nord, de la sous région et du Burkina (restauration et hebergement) 
Frais de mission nationaux (restauration et hebergement) 
Frais de mission pays du Nord (restauration et hebergement) </t>
  </si>
  <si>
    <r>
      <t xml:space="preserve">Le budget de 2023 paraît élevé car il comprend : les activité de l'année 2023 + </t>
    </r>
    <r>
      <rPr>
        <b/>
        <sz val="12"/>
        <color rgb="FF0070C0"/>
        <rFont val="Tw Cen MT"/>
        <family val="2"/>
      </rPr>
      <t>les paiements relatifs aux marchés de la construction et de l'équipement du siège initialement prévus en 2022 reportés à l'année 2023 (bleu)</t>
    </r>
    <r>
      <rPr>
        <b/>
        <sz val="12"/>
        <color theme="1"/>
        <rFont val="Tw Cen MT"/>
        <family val="2"/>
      </rPr>
      <t xml:space="preserve"> +</t>
    </r>
    <r>
      <rPr>
        <b/>
        <sz val="12"/>
        <color rgb="FFFF0000"/>
        <rFont val="Tw Cen MT"/>
        <family val="2"/>
      </rPr>
      <t xml:space="preserve"> les marchés passés en 2022 (en rouge) mais qui seront payés en 2023</t>
    </r>
  </si>
  <si>
    <t xml:space="preserve">Prise en charge de 24 participants (hebergement et restauration); Location de salle; Pause-café ; Carburant. </t>
  </si>
  <si>
    <t xml:space="preserve">Prise en charge de 57 participants ( hebergement et restauration); (hebergement et restauration); Location de salle; Pause-café ; Carburant. </t>
  </si>
  <si>
    <t xml:space="preserve">Prise en charge de 24 participants ((hebergement et restauration); Location de salle; Pause-café ; Carburant.                                         Carburant. </t>
  </si>
  <si>
    <t>Les activités résiduelles du plan d'action sont mis en œuvre</t>
  </si>
  <si>
    <t>Des billets de voyage sont acquis par le Centre dansle cadre de la mise en œuvre des activités (Afrique et hors d'Afrique)</t>
  </si>
  <si>
    <t>Frais de formation de trois personnes dans 3 universités des pays du nord (Belgique, Canada et USA) sur la veille et le montage des dossiers d’appel à projet ; frais de mission des trois personnes</t>
  </si>
  <si>
    <t>Activité 3: Acquisition de fournitures de bureau et de reprographie, de consommables informatiques</t>
  </si>
  <si>
    <t>Activité 1 : Acquisition et installation du mobilier (bureau, laboratoire, bibliothèque, pharmacie expérimentale)</t>
  </si>
  <si>
    <t xml:space="preserve"> Le PTAB , le PPM 2024 et autres documents de planifications sont élaborés </t>
  </si>
  <si>
    <t xml:space="preserve">Élaboration du PTAB et du PPM 2024 et atelier d'élaboration des TdR des activités et des spécifications des prestations et acquisitions contenues dans le PPM (Prise en charge des participants ( hebergement et restauration);     
Location de salle;                                                                                   Pause-café                                                                                       Carburant. </t>
  </si>
  <si>
    <t>Au moins trois (03) promoteurs de projets bénéficient d'accompagnement et d'un fonds d'amorçage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</si>
</sst>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C_F_A_ ;_ * \(#,##0\)\ _C_F_A_ ;_ * &quot;-&quot;_)\ _C_F_A_ ;_ @_ "/>
    <numFmt numFmtId="43" formatCode="_ * #,##0.00_)\ _C_F_A_ ;_ * \(#,##0.00\)\ _C_F_A_ ;_ * &quot;-&quot;??_)\ _C_F_A_ ;_ @_ "/>
    <numFmt numFmtId="164" formatCode="_-* #,##0.00\ _€_-;\-* #,##0.00\ _€_-;_-* &quot;-&quot;??\ _€_-;_-@_-"/>
    <numFmt numFmtId="165" formatCode="_ * #,##0_)\ _C_F_A_ ;_ * \(#,##0\)\ _C_F_A_ ;_ * &quot;-&quot;??_)\ _C_F_A_ ;_ @_ "/>
    <numFmt numFmtId="166" formatCode="_ * #,##0.00_)\ _C_F_A_ ;_ * \(#,##0.00\)\ _C_F_A_ ;_ * &quot;-&quot;_)\ _C_F_A_ ;_ @_ "/>
    <numFmt numFmtId="167" formatCode="_-* #,##0\ _€_-;\-* #,##0\ _€_-;_-* &quot;-&quot;??\ _€_-;_-@_-"/>
    <numFmt numFmtId="168" formatCode="_ * #,##0.0_)\ _C_F_A_ ;_ * \(#,##0.0\)\ _C_F_A_ ;_ * &quot;-&quot;??_)\ _C_F_A_ ;_ @_ "/>
    <numFmt numFmtId="169" formatCode="0.0%"/>
    <numFmt numFmtId="170" formatCode="_ * #,##0.0_)\ _C_F_A_ ;_ * \(#,##0.0\)\ _C_F_A_ ;_ * &quot;-&quot;?_)\ _C_F_A_ ;_ @_ "/>
  </numFmts>
  <fonts count="46" x14ac:knownFonts="1">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9"/>
      <color rgb="FF000000"/>
      <name val="Tahoma"/>
      <family val="2"/>
    </font>
    <font>
      <sz val="9"/>
      <color rgb="FF000000"/>
      <name val="Tahoma"/>
      <family val="2"/>
    </font>
    <font>
      <sz val="11"/>
      <color theme="1"/>
      <name val="Calibri"/>
      <family val="2"/>
      <scheme val="minor"/>
    </font>
    <font>
      <sz val="10"/>
      <color theme="1"/>
      <name val="Tw Cen MT"/>
      <family val="2"/>
    </font>
    <font>
      <b/>
      <sz val="10"/>
      <color theme="1"/>
      <name val="Tw Cen MT"/>
      <family val="2"/>
    </font>
    <font>
      <b/>
      <i/>
      <sz val="10"/>
      <color theme="1"/>
      <name val="Tw Cen MT"/>
      <family val="2"/>
    </font>
    <font>
      <b/>
      <i/>
      <sz val="10"/>
      <color rgb="FFFF0000"/>
      <name val="Tw Cen MT"/>
      <family val="2"/>
    </font>
    <font>
      <sz val="10"/>
      <color rgb="FFFF0000"/>
      <name val="Tw Cen MT"/>
      <family val="2"/>
    </font>
    <font>
      <b/>
      <sz val="10"/>
      <color rgb="FFFF0000"/>
      <name val="Tw Cen MT"/>
      <family val="2"/>
    </font>
    <font>
      <sz val="10"/>
      <color rgb="FF7030A0"/>
      <name val="Tw Cen MT"/>
      <family val="2"/>
    </font>
    <font>
      <sz val="10"/>
      <name val="Tw Cen MT"/>
      <family val="2"/>
    </font>
    <font>
      <b/>
      <sz val="10"/>
      <name val="Tw Cen MT"/>
      <family val="2"/>
    </font>
    <font>
      <i/>
      <sz val="10"/>
      <color theme="1"/>
      <name val="Tw Cen MT"/>
      <family val="2"/>
    </font>
    <font>
      <b/>
      <i/>
      <sz val="9"/>
      <color theme="1"/>
      <name val="Tw Cen MT"/>
      <family val="2"/>
    </font>
    <font>
      <b/>
      <i/>
      <sz val="9"/>
      <color rgb="FFFF0000"/>
      <name val="Tw Cen MT"/>
      <family val="2"/>
    </font>
    <font>
      <i/>
      <sz val="9"/>
      <color theme="1"/>
      <name val="Tw Cen MT"/>
      <family val="2"/>
    </font>
    <font>
      <sz val="9"/>
      <color theme="1"/>
      <name val="Tw Cen MT"/>
      <family val="2"/>
    </font>
    <font>
      <b/>
      <sz val="9"/>
      <color rgb="FFFF0000"/>
      <name val="Tw Cen MT"/>
      <family val="2"/>
    </font>
    <font>
      <b/>
      <sz val="9"/>
      <name val="Tw Cen MT"/>
      <family val="2"/>
    </font>
    <font>
      <sz val="9"/>
      <name val="Tw Cen MT"/>
      <family val="2"/>
    </font>
    <font>
      <b/>
      <sz val="9"/>
      <color theme="1"/>
      <name val="Tw Cen MT"/>
      <family val="2"/>
    </font>
    <font>
      <sz val="9"/>
      <color rgb="FF000000"/>
      <name val="Tw Cen MT"/>
      <family val="2"/>
    </font>
    <font>
      <sz val="14"/>
      <color theme="1"/>
      <name val="Tw Cen MT"/>
      <family val="2"/>
    </font>
    <font>
      <b/>
      <sz val="14"/>
      <color rgb="FFFF0000"/>
      <name val="Tw Cen MT"/>
      <family val="2"/>
    </font>
    <font>
      <b/>
      <sz val="14"/>
      <color theme="1"/>
      <name val="Tw Cen MT"/>
      <family val="2"/>
    </font>
    <font>
      <b/>
      <sz val="10"/>
      <color rgb="FF000000"/>
      <name val="Tw Cen MT"/>
      <family val="2"/>
    </font>
    <font>
      <sz val="11"/>
      <color theme="1"/>
      <name val="Tw Cen MT"/>
      <family val="2"/>
    </font>
    <font>
      <sz val="10"/>
      <color rgb="FF000000"/>
      <name val="Tw Cen MT"/>
      <family val="2"/>
    </font>
    <font>
      <sz val="10"/>
      <color theme="4"/>
      <name val="Tw Cen MT"/>
      <family val="2"/>
    </font>
    <font>
      <b/>
      <sz val="12"/>
      <color theme="1"/>
      <name val="Times New Roman"/>
      <family val="1"/>
    </font>
    <font>
      <sz val="9"/>
      <color rgb="FFFF0000"/>
      <name val="Tw Cen MT"/>
      <family val="2"/>
    </font>
    <font>
      <b/>
      <sz val="12"/>
      <color theme="1"/>
      <name val="Tw Cen MT"/>
      <family val="2"/>
    </font>
    <font>
      <sz val="10"/>
      <color rgb="FF0070C0"/>
      <name val="Tw Cen MT"/>
      <family val="2"/>
    </font>
    <font>
      <sz val="10"/>
      <color rgb="FF000000"/>
      <name val="Tahoma"/>
      <family val="2"/>
    </font>
    <font>
      <b/>
      <sz val="10"/>
      <color rgb="FF000000"/>
      <name val="Tahoma"/>
      <family val="2"/>
    </font>
    <font>
      <b/>
      <sz val="12"/>
      <color rgb="FF000000"/>
      <name val="Times New Roman"/>
      <family val="1"/>
    </font>
    <font>
      <sz val="14"/>
      <color theme="1"/>
      <name val="Times New Roman"/>
      <family val="1"/>
    </font>
    <font>
      <b/>
      <sz val="14"/>
      <color theme="1"/>
      <name val="Times New Roman"/>
      <family val="1"/>
    </font>
    <font>
      <b/>
      <sz val="10"/>
      <color rgb="FF7030A0"/>
      <name val="Tw Cen MT"/>
      <family val="2"/>
    </font>
    <font>
      <b/>
      <sz val="12"/>
      <color rgb="FF0070C0"/>
      <name val="Tw Cen MT"/>
      <family val="2"/>
    </font>
    <font>
      <b/>
      <sz val="12"/>
      <color rgb="FFFF0000"/>
      <name val="Tw Cen MT"/>
      <family val="2"/>
    </font>
    <font>
      <sz val="12"/>
      <color theme="1"/>
      <name val="Times New Roman"/>
      <family val="1"/>
    </font>
  </fonts>
  <fills count="17">
    <fill>
      <patternFill patternType="none"/>
    </fill>
    <fill>
      <patternFill patternType="gray125"/>
    </fill>
    <fill>
      <patternFill patternType="solid">
        <fgColor rgb="FF009FDA"/>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0070C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D0CECE"/>
        <bgColor rgb="FF000000"/>
      </patternFill>
    </fill>
    <fill>
      <patternFill patternType="solid">
        <fgColor theme="4"/>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99">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12">
    <xf numFmtId="0" fontId="0" fillId="0" borderId="0" xfId="0"/>
    <xf numFmtId="0" fontId="7" fillId="0" borderId="4" xfId="0" applyFont="1" applyBorder="1" applyAlignment="1">
      <alignment wrapText="1"/>
    </xf>
    <xf numFmtId="0" fontId="7" fillId="0" borderId="5" xfId="0" applyFont="1" applyBorder="1" applyAlignment="1">
      <alignment wrapText="1"/>
    </xf>
    <xf numFmtId="0" fontId="7" fillId="0" borderId="0" xfId="0" applyFont="1" applyBorder="1" applyAlignment="1">
      <alignment wrapText="1"/>
    </xf>
    <xf numFmtId="0" fontId="7" fillId="0" borderId="0" xfId="0" applyFont="1" applyBorder="1" applyAlignment="1">
      <alignment horizontal="center" wrapText="1"/>
    </xf>
    <xf numFmtId="0" fontId="7" fillId="8" borderId="0" xfId="0" applyFont="1" applyFill="1" applyBorder="1" applyAlignment="1">
      <alignment horizontal="center" wrapText="1"/>
    </xf>
    <xf numFmtId="0" fontId="7" fillId="0" borderId="3" xfId="0" applyFont="1" applyBorder="1" applyAlignment="1">
      <alignment wrapText="1"/>
    </xf>
    <xf numFmtId="0" fontId="7" fillId="0" borderId="0" xfId="0" applyFont="1" applyAlignment="1">
      <alignment wrapText="1"/>
    </xf>
    <xf numFmtId="0" fontId="7" fillId="0" borderId="2" xfId="0" applyFont="1" applyBorder="1" applyAlignment="1">
      <alignment wrapText="1"/>
    </xf>
    <xf numFmtId="41" fontId="7" fillId="0" borderId="0" xfId="84" applyFont="1" applyBorder="1" applyAlignment="1">
      <alignment wrapText="1"/>
    </xf>
    <xf numFmtId="0" fontId="7" fillId="6" borderId="0" xfId="0" applyFont="1" applyFill="1" applyBorder="1" applyAlignment="1">
      <alignment horizontal="center" wrapText="1"/>
    </xf>
    <xf numFmtId="0" fontId="7" fillId="0" borderId="0" xfId="0" applyFont="1" applyBorder="1" applyAlignment="1">
      <alignment horizontal="left" vertical="center" wrapText="1"/>
    </xf>
    <xf numFmtId="0" fontId="7" fillId="7" borderId="0" xfId="0" applyFont="1" applyFill="1" applyBorder="1" applyAlignment="1">
      <alignment horizontal="center" wrapText="1"/>
    </xf>
    <xf numFmtId="0" fontId="7" fillId="0" borderId="7" xfId="0" applyFont="1" applyBorder="1" applyAlignment="1">
      <alignment wrapText="1"/>
    </xf>
    <xf numFmtId="0" fontId="7" fillId="0" borderId="8" xfId="0" applyFont="1" applyBorder="1" applyAlignment="1">
      <alignment wrapText="1"/>
    </xf>
    <xf numFmtId="0" fontId="8" fillId="2" borderId="1" xfId="0" applyFont="1" applyFill="1" applyBorder="1" applyAlignment="1">
      <alignment vertical="center" wrapText="1"/>
    </xf>
    <xf numFmtId="0" fontId="7" fillId="2" borderId="1" xfId="0" applyFont="1" applyFill="1" applyBorder="1" applyAlignment="1">
      <alignment wrapText="1"/>
    </xf>
    <xf numFmtId="0" fontId="8" fillId="2" borderId="1" xfId="0" applyFont="1" applyFill="1" applyBorder="1" applyAlignment="1">
      <alignment vertical="center"/>
    </xf>
    <xf numFmtId="0" fontId="7"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3" borderId="11" xfId="0" applyFont="1" applyFill="1" applyBorder="1" applyAlignment="1">
      <alignment wrapText="1"/>
    </xf>
    <xf numFmtId="0" fontId="8" fillId="3" borderId="12" xfId="0" applyFont="1" applyFill="1" applyBorder="1" applyAlignment="1">
      <alignment wrapText="1"/>
    </xf>
    <xf numFmtId="0" fontId="9" fillId="5" borderId="1" xfId="0" applyFont="1" applyFill="1" applyBorder="1" applyAlignment="1">
      <alignment horizontal="left" vertical="center" wrapText="1"/>
    </xf>
    <xf numFmtId="0" fontId="9" fillId="5" borderId="11" xfId="0" applyFont="1" applyFill="1" applyBorder="1" applyAlignment="1">
      <alignment horizontal="left" wrapText="1"/>
    </xf>
    <xf numFmtId="0" fontId="10" fillId="5" borderId="1" xfId="0" applyFont="1" applyFill="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wrapText="1"/>
    </xf>
    <xf numFmtId="0" fontId="8" fillId="0" borderId="1" xfId="0" applyFont="1" applyBorder="1" applyAlignment="1">
      <alignment horizontal="center" vertical="center" wrapText="1"/>
    </xf>
    <xf numFmtId="0" fontId="12" fillId="0" borderId="1" xfId="0" applyFont="1" applyBorder="1" applyAlignment="1">
      <alignment vertical="center" wrapText="1"/>
    </xf>
    <xf numFmtId="165" fontId="12" fillId="0" borderId="0" xfId="0" applyNumberFormat="1" applyFont="1" applyAlignment="1">
      <alignment vertical="center" wrapText="1"/>
    </xf>
    <xf numFmtId="0" fontId="12" fillId="0" borderId="1" xfId="0" applyFont="1" applyBorder="1" applyAlignment="1">
      <alignment horizontal="center" vertical="center" wrapText="1"/>
    </xf>
    <xf numFmtId="0" fontId="9" fillId="5" borderId="10" xfId="0" applyFont="1" applyFill="1" applyBorder="1" applyAlignment="1">
      <alignment horizontal="left" wrapText="1"/>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12" fillId="0" borderId="1" xfId="0" applyFont="1" applyBorder="1" applyAlignment="1">
      <alignment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3"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vertical="center" wrapText="1"/>
    </xf>
    <xf numFmtId="0" fontId="14" fillId="0" borderId="1" xfId="0" applyFont="1" applyBorder="1" applyAlignment="1">
      <alignment wrapText="1"/>
    </xf>
    <xf numFmtId="0" fontId="15" fillId="0" borderId="1" xfId="0" applyFont="1" applyBorder="1" applyAlignment="1">
      <alignment horizontal="center" vertical="center" wrapText="1"/>
    </xf>
    <xf numFmtId="0" fontId="14" fillId="0" borderId="0" xfId="0" applyFont="1" applyAlignment="1">
      <alignment wrapText="1"/>
    </xf>
    <xf numFmtId="0" fontId="15"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wrapText="1"/>
    </xf>
    <xf numFmtId="0" fontId="8" fillId="0" borderId="1" xfId="0" applyFont="1" applyFill="1" applyBorder="1" applyAlignment="1">
      <alignment horizontal="center" vertical="center" wrapText="1"/>
    </xf>
    <xf numFmtId="0" fontId="7" fillId="0" borderId="0" xfId="0" applyFont="1" applyFill="1" applyAlignment="1">
      <alignment wrapText="1"/>
    </xf>
    <xf numFmtId="0" fontId="8" fillId="0" borderId="1" xfId="0" applyFont="1" applyBorder="1" applyAlignment="1">
      <alignment horizontal="center" wrapText="1"/>
    </xf>
    <xf numFmtId="0" fontId="7" fillId="0" borderId="1" xfId="0" applyFont="1" applyFill="1" applyBorder="1" applyAlignment="1">
      <alignment horizontal="center" vertical="center" wrapText="1"/>
    </xf>
    <xf numFmtId="0" fontId="9" fillId="5" borderId="1" xfId="0" applyFont="1" applyFill="1" applyBorder="1" applyAlignment="1">
      <alignment horizontal="left"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0" xfId="0" applyFont="1" applyAlignment="1">
      <alignment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7" fillId="0" borderId="10" xfId="0" applyFont="1" applyFill="1" applyBorder="1" applyAlignment="1">
      <alignment horizontal="left" vertical="center" wrapText="1"/>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wrapText="1"/>
    </xf>
    <xf numFmtId="0" fontId="10" fillId="5" borderId="1" xfId="0" applyFont="1" applyFill="1" applyBorder="1" applyAlignment="1">
      <alignment vertical="center" wrapText="1"/>
    </xf>
    <xf numFmtId="43" fontId="7" fillId="0" borderId="0" xfId="0" applyNumberFormat="1" applyFont="1" applyAlignment="1">
      <alignment wrapText="1"/>
    </xf>
    <xf numFmtId="168" fontId="7" fillId="0" borderId="0" xfId="0" applyNumberFormat="1" applyFont="1" applyAlignment="1">
      <alignment vertical="center" wrapText="1"/>
    </xf>
    <xf numFmtId="0" fontId="7" fillId="0" borderId="1" xfId="0" applyFont="1" applyFill="1" applyBorder="1" applyAlignment="1">
      <alignment horizontal="center" wrapText="1"/>
    </xf>
    <xf numFmtId="43" fontId="7" fillId="0" borderId="0" xfId="0" applyNumberFormat="1" applyFont="1" applyAlignment="1">
      <alignment vertical="center" wrapText="1"/>
    </xf>
    <xf numFmtId="0" fontId="7" fillId="0" borderId="0" xfId="0" applyFont="1" applyFill="1" applyAlignment="1">
      <alignment vertical="center" wrapText="1"/>
    </xf>
    <xf numFmtId="0" fontId="7" fillId="9" borderId="0" xfId="0" applyFont="1" applyFill="1" applyAlignment="1">
      <alignment wrapText="1"/>
    </xf>
    <xf numFmtId="164" fontId="7" fillId="0" borderId="0" xfId="0" applyNumberFormat="1" applyFont="1" applyAlignment="1">
      <alignment wrapText="1"/>
    </xf>
    <xf numFmtId="165" fontId="7" fillId="0" borderId="0" xfId="0" applyNumberFormat="1" applyFont="1" applyBorder="1" applyAlignment="1">
      <alignment wrapText="1"/>
    </xf>
    <xf numFmtId="3" fontId="7" fillId="0" borderId="0" xfId="0" applyNumberFormat="1" applyFont="1" applyAlignment="1">
      <alignment wrapText="1"/>
    </xf>
    <xf numFmtId="166" fontId="7" fillId="0" borderId="0" xfId="84" applyNumberFormat="1" applyFont="1" applyAlignment="1">
      <alignment wrapText="1"/>
    </xf>
    <xf numFmtId="10" fontId="7" fillId="0" borderId="0" xfId="86" applyNumberFormat="1" applyFont="1" applyAlignment="1">
      <alignment wrapText="1"/>
    </xf>
    <xf numFmtId="0" fontId="17" fillId="5" borderId="11" xfId="0" applyFont="1" applyFill="1" applyBorder="1" applyAlignment="1">
      <alignment horizontal="left"/>
    </xf>
    <xf numFmtId="0" fontId="17" fillId="6" borderId="11" xfId="0" applyFont="1" applyFill="1" applyBorder="1" applyAlignment="1">
      <alignment horizontal="left"/>
    </xf>
    <xf numFmtId="0" fontId="19" fillId="0" borderId="0" xfId="0" applyFont="1"/>
    <xf numFmtId="0" fontId="20" fillId="0" borderId="1" xfId="0" applyFont="1" applyBorder="1" applyAlignment="1">
      <alignment vertical="center" wrapText="1"/>
    </xf>
    <xf numFmtId="0" fontId="20" fillId="0" borderId="1" xfId="0" applyFont="1" applyBorder="1" applyAlignment="1">
      <alignment wrapText="1"/>
    </xf>
    <xf numFmtId="0" fontId="20" fillId="0" borderId="1" xfId="0" applyFont="1" applyBorder="1" applyAlignment="1">
      <alignment horizontal="center" vertical="center"/>
    </xf>
    <xf numFmtId="0" fontId="20" fillId="6" borderId="1" xfId="0" applyFont="1" applyFill="1" applyBorder="1" applyAlignment="1"/>
    <xf numFmtId="0" fontId="20" fillId="0" borderId="1" xfId="0" applyFont="1" applyBorder="1"/>
    <xf numFmtId="0" fontId="20" fillId="0" borderId="0" xfId="0" applyFont="1"/>
    <xf numFmtId="0" fontId="20" fillId="6" borderId="1" xfId="0" applyFont="1" applyFill="1" applyBorder="1" applyAlignment="1">
      <alignment vertical="center"/>
    </xf>
    <xf numFmtId="0" fontId="20" fillId="0" borderId="1" xfId="0" applyFont="1" applyBorder="1" applyAlignment="1">
      <alignment vertical="center"/>
    </xf>
    <xf numFmtId="0" fontId="20" fillId="0" borderId="0" xfId="0" applyFont="1" applyAlignment="1">
      <alignment vertical="center"/>
    </xf>
    <xf numFmtId="0" fontId="20" fillId="0" borderId="1" xfId="0" applyFont="1" applyBorder="1" applyAlignment="1">
      <alignment horizontal="center"/>
    </xf>
    <xf numFmtId="0" fontId="20" fillId="0" borderId="10" xfId="0" applyFont="1" applyBorder="1" applyAlignment="1">
      <alignment vertical="center"/>
    </xf>
    <xf numFmtId="0" fontId="20" fillId="0" borderId="10" xfId="0" applyFont="1" applyBorder="1"/>
    <xf numFmtId="0" fontId="20" fillId="0" borderId="12" xfId="0" applyFont="1" applyBorder="1"/>
    <xf numFmtId="0" fontId="17" fillId="5" borderId="1" xfId="0" applyFont="1" applyFill="1" applyBorder="1" applyAlignment="1">
      <alignment horizontal="left"/>
    </xf>
    <xf numFmtId="0" fontId="18" fillId="5" borderId="1" xfId="0" applyFont="1" applyFill="1" applyBorder="1" applyAlignment="1">
      <alignment horizontal="left" wrapText="1"/>
    </xf>
    <xf numFmtId="0" fontId="20" fillId="6" borderId="1" xfId="0" applyFont="1" applyFill="1" applyBorder="1" applyAlignment="1">
      <alignment horizontal="center" vertical="center"/>
    </xf>
    <xf numFmtId="0" fontId="22" fillId="0" borderId="1" xfId="0" applyFont="1" applyBorder="1"/>
    <xf numFmtId="0" fontId="22" fillId="6" borderId="1" xfId="0" applyFont="1" applyFill="1" applyBorder="1" applyAlignment="1"/>
    <xf numFmtId="0" fontId="22" fillId="0" borderId="1" xfId="0" applyFont="1" applyBorder="1" applyAlignment="1">
      <alignment horizontal="center"/>
    </xf>
    <xf numFmtId="0" fontId="20" fillId="0" borderId="0" xfId="0" applyFont="1" applyFill="1"/>
    <xf numFmtId="0" fontId="23" fillId="0" borderId="1" xfId="0" applyFont="1" applyBorder="1" applyAlignment="1">
      <alignment horizontal="center" vertical="center"/>
    </xf>
    <xf numFmtId="0" fontId="23" fillId="0" borderId="1" xfId="0" applyFont="1" applyBorder="1"/>
    <xf numFmtId="0" fontId="23" fillId="6" borderId="1" xfId="0" applyFont="1" applyFill="1" applyBorder="1" applyAlignment="1"/>
    <xf numFmtId="0" fontId="20" fillId="0" borderId="1" xfId="0" applyFont="1" applyFill="1" applyBorder="1" applyAlignment="1">
      <alignment wrapText="1"/>
    </xf>
    <xf numFmtId="0" fontId="20" fillId="0" borderId="1" xfId="0" applyFont="1" applyFill="1" applyBorder="1"/>
    <xf numFmtId="0" fontId="20" fillId="0" borderId="1" xfId="0" applyFont="1" applyFill="1" applyBorder="1" applyAlignment="1">
      <alignment horizontal="center"/>
    </xf>
    <xf numFmtId="0" fontId="20" fillId="6" borderId="1" xfId="0" applyFont="1" applyFill="1" applyBorder="1" applyAlignment="1">
      <alignment horizontal="center"/>
    </xf>
    <xf numFmtId="0" fontId="7" fillId="6" borderId="0" xfId="0" applyFont="1" applyFill="1" applyAlignment="1">
      <alignment wrapText="1"/>
    </xf>
    <xf numFmtId="0" fontId="24" fillId="3" borderId="11" xfId="0" applyFont="1" applyFill="1" applyBorder="1" applyAlignment="1">
      <alignment wrapText="1"/>
    </xf>
    <xf numFmtId="0" fontId="24" fillId="3" borderId="11" xfId="0" applyFont="1" applyFill="1" applyBorder="1" applyAlignment="1"/>
    <xf numFmtId="0" fontId="24" fillId="6" borderId="11" xfId="0" applyFont="1" applyFill="1" applyBorder="1" applyAlignment="1"/>
    <xf numFmtId="0" fontId="24" fillId="3" borderId="12" xfId="0" applyFont="1" applyFill="1" applyBorder="1" applyAlignment="1"/>
    <xf numFmtId="0" fontId="23" fillId="0" borderId="0" xfId="0" applyFont="1"/>
    <xf numFmtId="0" fontId="23" fillId="0" borderId="1" xfId="0" applyFont="1" applyBorder="1" applyAlignment="1">
      <alignment vertical="center"/>
    </xf>
    <xf numFmtId="0" fontId="20" fillId="6" borderId="11" xfId="0" applyFont="1" applyFill="1" applyBorder="1" applyAlignment="1"/>
    <xf numFmtId="0" fontId="20" fillId="0" borderId="11" xfId="0" applyFont="1" applyFill="1" applyBorder="1"/>
    <xf numFmtId="0" fontId="25" fillId="0" borderId="1" xfId="0" applyFont="1" applyBorder="1"/>
    <xf numFmtId="2" fontId="17" fillId="0" borderId="1" xfId="0" applyNumberFormat="1" applyFont="1" applyFill="1" applyBorder="1" applyAlignment="1">
      <alignment vertical="center"/>
    </xf>
    <xf numFmtId="0" fontId="20" fillId="0" borderId="1" xfId="0" applyFont="1" applyBorder="1" applyAlignment="1">
      <alignment horizontal="left" vertical="center"/>
    </xf>
    <xf numFmtId="0" fontId="20" fillId="0" borderId="9" xfId="0" applyFont="1" applyBorder="1"/>
    <xf numFmtId="0" fontId="20" fillId="6" borderId="9" xfId="0" applyFont="1" applyFill="1" applyBorder="1" applyAlignment="1"/>
    <xf numFmtId="0" fontId="20" fillId="0" borderId="9" xfId="0" applyFont="1" applyBorder="1" applyAlignment="1">
      <alignment vertical="center"/>
    </xf>
    <xf numFmtId="0" fontId="20" fillId="6" borderId="1" xfId="0" applyFont="1" applyFill="1" applyBorder="1"/>
    <xf numFmtId="0" fontId="17" fillId="6" borderId="1" xfId="0" applyFont="1" applyFill="1" applyBorder="1" applyAlignment="1">
      <alignment horizontal="left"/>
    </xf>
    <xf numFmtId="0" fontId="17" fillId="0" borderId="1" xfId="0" applyFont="1" applyFill="1" applyBorder="1" applyAlignment="1">
      <alignment horizontal="left"/>
    </xf>
    <xf numFmtId="0" fontId="18" fillId="0" borderId="1" xfId="0" applyFont="1" applyFill="1" applyBorder="1" applyAlignment="1">
      <alignment horizontal="left" wrapText="1"/>
    </xf>
    <xf numFmtId="0" fontId="13" fillId="0" borderId="1" xfId="0" applyFont="1" applyFill="1" applyBorder="1" applyAlignment="1">
      <alignment wrapText="1"/>
    </xf>
    <xf numFmtId="0" fontId="13" fillId="0" borderId="0" xfId="0" applyFont="1" applyFill="1" applyAlignment="1">
      <alignment wrapText="1"/>
    </xf>
    <xf numFmtId="0" fontId="23" fillId="0" borderId="10" xfId="0" applyFont="1" applyFill="1" applyBorder="1"/>
    <xf numFmtId="0" fontId="20" fillId="0" borderId="2" xfId="0" applyFont="1" applyBorder="1"/>
    <xf numFmtId="0" fontId="20" fillId="0" borderId="0" xfId="0" applyFont="1" applyBorder="1"/>
    <xf numFmtId="0" fontId="20" fillId="0" borderId="2" xfId="0" applyFont="1" applyFill="1" applyBorder="1"/>
    <xf numFmtId="0" fontId="20" fillId="0" borderId="0" xfId="0" applyFont="1" applyFill="1" applyBorder="1"/>
    <xf numFmtId="0" fontId="8" fillId="6" borderId="0" xfId="0" applyFont="1" applyFill="1" applyAlignment="1">
      <alignment vertical="center" wrapText="1"/>
    </xf>
    <xf numFmtId="0" fontId="26" fillId="0" borderId="0" xfId="0" applyFont="1" applyFill="1" applyAlignment="1">
      <alignment wrapText="1"/>
    </xf>
    <xf numFmtId="0" fontId="27" fillId="10" borderId="13" xfId="0" applyFont="1" applyFill="1" applyBorder="1" applyAlignment="1">
      <alignment horizontal="center" vertical="center" wrapText="1"/>
    </xf>
    <xf numFmtId="0" fontId="28" fillId="10" borderId="13" xfId="0" applyFont="1" applyFill="1" applyBorder="1" applyAlignment="1">
      <alignment wrapText="1"/>
    </xf>
    <xf numFmtId="41" fontId="28" fillId="10" borderId="13" xfId="0" applyNumberFormat="1" applyFont="1" applyFill="1" applyBorder="1" applyAlignment="1">
      <alignment vertical="center" wrapText="1"/>
    </xf>
    <xf numFmtId="0" fontId="28" fillId="10" borderId="13" xfId="0" applyFont="1" applyFill="1" applyBorder="1" applyAlignment="1">
      <alignment vertical="center" wrapText="1"/>
    </xf>
    <xf numFmtId="0" fontId="7" fillId="8" borderId="1" xfId="0" applyFont="1" applyFill="1" applyBorder="1" applyAlignment="1">
      <alignment vertical="center" wrapText="1"/>
    </xf>
    <xf numFmtId="0" fontId="14" fillId="0" borderId="1" xfId="0" applyFont="1" applyFill="1" applyBorder="1" applyAlignment="1">
      <alignment vertical="center" wrapText="1"/>
    </xf>
    <xf numFmtId="0" fontId="7" fillId="0" borderId="10" xfId="0" applyFont="1" applyFill="1" applyBorder="1" applyAlignment="1">
      <alignment vertical="center" wrapText="1"/>
    </xf>
    <xf numFmtId="0" fontId="7" fillId="0" borderId="1" xfId="0" applyFont="1" applyBorder="1" applyAlignment="1">
      <alignment vertical="center"/>
    </xf>
    <xf numFmtId="0" fontId="8" fillId="3" borderId="10" xfId="0" applyFont="1" applyFill="1" applyBorder="1" applyAlignment="1">
      <alignment vertical="center"/>
    </xf>
    <xf numFmtId="164" fontId="14" fillId="0" borderId="1" xfId="85" applyFont="1" applyFill="1" applyBorder="1" applyAlignment="1">
      <alignment vertical="center" wrapText="1"/>
    </xf>
    <xf numFmtId="0" fontId="29" fillId="0" borderId="1" xfId="0" applyFont="1" applyBorder="1" applyAlignment="1">
      <alignment horizontal="center" vertical="center" wrapText="1"/>
    </xf>
    <xf numFmtId="164" fontId="7" fillId="0" borderId="1" xfId="85" applyFont="1" applyFill="1" applyBorder="1" applyAlignment="1">
      <alignment vertical="center" wrapText="1"/>
    </xf>
    <xf numFmtId="164" fontId="7" fillId="0" borderId="1" xfId="85" applyFont="1" applyFill="1" applyBorder="1" applyAlignment="1">
      <alignment horizontal="left" vertical="center" wrapText="1"/>
    </xf>
    <xf numFmtId="0" fontId="14" fillId="0" borderId="12" xfId="0" applyFont="1" applyBorder="1" applyAlignment="1">
      <alignment wrapText="1"/>
    </xf>
    <xf numFmtId="0" fontId="30" fillId="0" borderId="1" xfId="0" applyFont="1" applyBorder="1" applyAlignment="1">
      <alignment vertical="center" wrapText="1"/>
    </xf>
    <xf numFmtId="0" fontId="9" fillId="5" borderId="10" xfId="0" applyFont="1" applyFill="1" applyBorder="1" applyAlignment="1">
      <alignment vertical="center" wrapText="1"/>
    </xf>
    <xf numFmtId="0" fontId="7" fillId="0" borderId="9" xfId="0" applyFont="1" applyBorder="1" applyAlignment="1">
      <alignment vertical="center" wrapText="1"/>
    </xf>
    <xf numFmtId="0" fontId="20" fillId="0" borderId="14" xfId="0" applyFont="1" applyBorder="1"/>
    <xf numFmtId="0" fontId="7" fillId="0" borderId="10" xfId="0" applyFont="1" applyBorder="1" applyAlignment="1">
      <alignment vertical="center" wrapText="1"/>
    </xf>
    <xf numFmtId="43" fontId="7" fillId="0" borderId="1" xfId="0" applyNumberFormat="1" applyFont="1" applyBorder="1" applyAlignment="1">
      <alignment vertical="center" wrapText="1"/>
    </xf>
    <xf numFmtId="43" fontId="7" fillId="0" borderId="1" xfId="0" applyNumberFormat="1" applyFont="1" applyBorder="1" applyAlignment="1">
      <alignment wrapText="1"/>
    </xf>
    <xf numFmtId="43" fontId="20" fillId="0" borderId="1" xfId="0" applyNumberFormat="1" applyFont="1" applyBorder="1" applyAlignment="1">
      <alignment vertical="center"/>
    </xf>
    <xf numFmtId="43" fontId="20" fillId="0" borderId="1" xfId="0" applyNumberFormat="1" applyFont="1" applyBorder="1"/>
    <xf numFmtId="43" fontId="20" fillId="0" borderId="1" xfId="0" applyNumberFormat="1" applyFont="1" applyBorder="1" applyAlignment="1">
      <alignment horizontal="center" vertical="center"/>
    </xf>
    <xf numFmtId="43" fontId="20" fillId="0" borderId="1" xfId="0" applyNumberFormat="1" applyFont="1" applyFill="1" applyBorder="1" applyAlignment="1">
      <alignment vertical="center"/>
    </xf>
    <xf numFmtId="0" fontId="7" fillId="5" borderId="1" xfId="0" applyFont="1" applyFill="1" applyBorder="1" applyAlignment="1">
      <alignment wrapText="1"/>
    </xf>
    <xf numFmtId="0" fontId="20" fillId="0" borderId="11" xfId="0" applyFont="1" applyBorder="1"/>
    <xf numFmtId="0" fontId="10" fillId="11" borderId="1" xfId="0" applyFont="1" applyFill="1" applyBorder="1" applyAlignment="1">
      <alignment horizontal="left" vertical="center" wrapText="1"/>
    </xf>
    <xf numFmtId="0" fontId="7" fillId="6" borderId="1" xfId="0" applyFont="1" applyFill="1" applyBorder="1" applyAlignment="1">
      <alignment wrapText="1"/>
    </xf>
    <xf numFmtId="0" fontId="7" fillId="4" borderId="1" xfId="0" applyFont="1" applyFill="1" applyBorder="1" applyAlignment="1">
      <alignment horizontal="center" vertical="center" wrapText="1"/>
    </xf>
    <xf numFmtId="0" fontId="20" fillId="0" borderId="14" xfId="0" applyFont="1" applyBorder="1" applyAlignment="1">
      <alignment vertical="center"/>
    </xf>
    <xf numFmtId="0" fontId="29" fillId="0" borderId="9" xfId="0" applyFont="1" applyBorder="1" applyAlignment="1">
      <alignment horizontal="center" vertical="center" wrapText="1"/>
    </xf>
    <xf numFmtId="0" fontId="20" fillId="0" borderId="9" xfId="0" applyFont="1" applyBorder="1" applyAlignment="1">
      <alignment horizontal="center"/>
    </xf>
    <xf numFmtId="43" fontId="20" fillId="0" borderId="9" xfId="0" applyNumberFormat="1" applyFont="1" applyBorder="1" applyAlignment="1">
      <alignment vertical="center"/>
    </xf>
    <xf numFmtId="43" fontId="20" fillId="0" borderId="2" xfId="0" applyNumberFormat="1" applyFont="1" applyFill="1" applyBorder="1"/>
    <xf numFmtId="41" fontId="7" fillId="0" borderId="0" xfId="84" applyFont="1" applyFill="1" applyAlignment="1">
      <alignment wrapText="1"/>
    </xf>
    <xf numFmtId="0" fontId="31" fillId="0" borderId="9" xfId="0" applyFont="1" applyBorder="1" applyAlignment="1">
      <alignment vertical="center" wrapText="1"/>
    </xf>
    <xf numFmtId="9" fontId="28" fillId="10" borderId="13" xfId="86" applyFont="1" applyFill="1" applyBorder="1" applyAlignment="1">
      <alignment horizontal="center" vertical="center"/>
    </xf>
    <xf numFmtId="166" fontId="7" fillId="0" borderId="1" xfId="84" applyNumberFormat="1" applyFont="1" applyFill="1" applyBorder="1" applyAlignment="1">
      <alignment horizontal="center" vertical="center" wrapText="1"/>
    </xf>
    <xf numFmtId="166" fontId="14" fillId="0" borderId="1" xfId="84" applyNumberFormat="1" applyFont="1" applyFill="1" applyBorder="1" applyAlignment="1">
      <alignment horizontal="center" vertical="center" wrapText="1"/>
    </xf>
    <xf numFmtId="0" fontId="7" fillId="12" borderId="1" xfId="0" applyFont="1" applyFill="1" applyBorder="1" applyAlignment="1">
      <alignment wrapText="1"/>
    </xf>
    <xf numFmtId="0" fontId="32" fillId="12" borderId="1" xfId="0" applyFont="1" applyFill="1" applyBorder="1" applyAlignment="1">
      <alignment wrapText="1"/>
    </xf>
    <xf numFmtId="43" fontId="12" fillId="0" borderId="1" xfId="0" applyNumberFormat="1" applyFont="1" applyBorder="1" applyAlignment="1">
      <alignment vertical="center" wrapText="1"/>
    </xf>
    <xf numFmtId="0" fontId="8" fillId="0" borderId="1" xfId="0" applyFont="1" applyFill="1" applyBorder="1" applyAlignment="1">
      <alignment vertical="center" wrapText="1"/>
    </xf>
    <xf numFmtId="166" fontId="14" fillId="0" borderId="11" xfId="84" applyNumberFormat="1" applyFont="1" applyFill="1" applyBorder="1" applyAlignment="1">
      <alignment horizontal="center" vertical="center" wrapText="1"/>
    </xf>
    <xf numFmtId="0" fontId="9" fillId="5" borderId="10" xfId="0" applyFont="1" applyFill="1" applyBorder="1" applyAlignment="1">
      <alignment wrapText="1"/>
    </xf>
    <xf numFmtId="0" fontId="9" fillId="5" borderId="11" xfId="0" applyFont="1" applyFill="1" applyBorder="1" applyAlignment="1">
      <alignment wrapText="1"/>
    </xf>
    <xf numFmtId="0" fontId="33" fillId="0" borderId="1" xfId="0" applyFont="1" applyBorder="1" applyAlignment="1">
      <alignment horizontal="center" vertical="center"/>
    </xf>
    <xf numFmtId="166" fontId="14" fillId="0" borderId="1" xfId="84" applyNumberFormat="1" applyFont="1" applyFill="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41" fontId="8" fillId="6" borderId="10" xfId="84" applyFont="1" applyFill="1" applyBorder="1" applyAlignment="1">
      <alignment vertical="center" wrapText="1"/>
    </xf>
    <xf numFmtId="0" fontId="7" fillId="6" borderId="5" xfId="0" applyFont="1" applyFill="1" applyBorder="1" applyAlignment="1">
      <alignment wrapText="1"/>
    </xf>
    <xf numFmtId="0" fontId="10" fillId="5" borderId="11" xfId="0" applyFont="1" applyFill="1" applyBorder="1" applyAlignment="1">
      <alignment horizontal="left" wrapText="1"/>
    </xf>
    <xf numFmtId="0" fontId="18" fillId="5" borderId="11" xfId="0" applyFont="1" applyFill="1" applyBorder="1" applyAlignment="1">
      <alignment horizontal="left"/>
    </xf>
    <xf numFmtId="0" fontId="18" fillId="5" borderId="1" xfId="0" applyFont="1" applyFill="1" applyBorder="1" applyAlignment="1">
      <alignment horizontal="left"/>
    </xf>
    <xf numFmtId="0" fontId="34" fillId="0" borderId="0" xfId="0" applyFont="1"/>
    <xf numFmtId="0" fontId="34" fillId="0" borderId="0" xfId="0" applyFont="1" applyFill="1"/>
    <xf numFmtId="0" fontId="34" fillId="0" borderId="10" xfId="0" applyFont="1" applyFill="1" applyBorder="1"/>
    <xf numFmtId="0" fontId="34" fillId="6" borderId="11" xfId="0" applyFont="1" applyFill="1" applyBorder="1" applyAlignment="1"/>
    <xf numFmtId="0" fontId="34" fillId="0" borderId="1" xfId="0" applyFont="1" applyFill="1" applyBorder="1"/>
    <xf numFmtId="0" fontId="34" fillId="0" borderId="11" xfId="0" applyFont="1" applyFill="1" applyBorder="1"/>
    <xf numFmtId="0" fontId="34" fillId="0" borderId="1" xfId="0" applyFont="1" applyFill="1" applyBorder="1" applyAlignment="1">
      <alignment horizontal="center"/>
    </xf>
    <xf numFmtId="0" fontId="20" fillId="0" borderId="14" xfId="0" applyFont="1" applyFill="1" applyBorder="1" applyAlignment="1">
      <alignment vertical="center"/>
    </xf>
    <xf numFmtId="0" fontId="20" fillId="0" borderId="9" xfId="0" applyFont="1" applyFill="1" applyBorder="1"/>
    <xf numFmtId="0" fontId="29" fillId="0" borderId="1"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0" borderId="9" xfId="0" applyFont="1" applyFill="1" applyBorder="1" applyAlignment="1">
      <alignment horizontal="center"/>
    </xf>
    <xf numFmtId="0" fontId="7" fillId="0" borderId="4" xfId="0" applyFont="1" applyFill="1" applyBorder="1" applyAlignment="1">
      <alignment vertical="center" wrapText="1"/>
    </xf>
    <xf numFmtId="43" fontId="20" fillId="0" borderId="9" xfId="0" applyNumberFormat="1" applyFont="1" applyFill="1" applyBorder="1" applyAlignment="1">
      <alignment vertical="center"/>
    </xf>
    <xf numFmtId="41" fontId="20" fillId="0" borderId="0" xfId="0" applyNumberFormat="1" applyFont="1"/>
    <xf numFmtId="0" fontId="35" fillId="0" borderId="0" xfId="0" applyFont="1" applyAlignment="1">
      <alignment wrapText="1"/>
    </xf>
    <xf numFmtId="0" fontId="36" fillId="0" borderId="1" xfId="0" applyFont="1" applyBorder="1" applyAlignment="1">
      <alignment horizontal="left" vertical="center" wrapText="1"/>
    </xf>
    <xf numFmtId="0" fontId="35" fillId="0" borderId="0" xfId="0" applyFont="1" applyAlignment="1">
      <alignment vertical="center" wrapText="1"/>
    </xf>
    <xf numFmtId="9" fontId="7" fillId="0" borderId="0" xfId="86" applyFont="1" applyFill="1" applyAlignment="1">
      <alignment wrapText="1"/>
    </xf>
    <xf numFmtId="0" fontId="9" fillId="5" borderId="5" xfId="0" applyFont="1" applyFill="1" applyBorder="1" applyAlignment="1">
      <alignment horizontal="left" wrapText="1"/>
    </xf>
    <xf numFmtId="0" fontId="7" fillId="0" borderId="15" xfId="0" applyFont="1" applyBorder="1" applyAlignment="1">
      <alignment vertical="center" wrapText="1"/>
    </xf>
    <xf numFmtId="167" fontId="28" fillId="10" borderId="13" xfId="85" applyNumberFormat="1" applyFont="1" applyFill="1" applyBorder="1" applyAlignment="1">
      <alignment vertical="center"/>
    </xf>
    <xf numFmtId="0" fontId="9" fillId="5" borderId="11" xfId="0" applyFont="1" applyFill="1" applyBorder="1" applyAlignment="1">
      <alignment horizontal="center" wrapText="1"/>
    </xf>
    <xf numFmtId="165" fontId="21" fillId="0" borderId="0" xfId="0" applyNumberFormat="1" applyFont="1" applyAlignment="1">
      <alignment vertical="center"/>
    </xf>
    <xf numFmtId="167" fontId="7" fillId="0" borderId="1" xfId="85" applyNumberFormat="1" applyFont="1" applyBorder="1" applyAlignment="1">
      <alignment horizontal="center" vertical="center" wrapText="1"/>
    </xf>
    <xf numFmtId="165" fontId="8" fillId="0" borderId="0" xfId="0" applyNumberFormat="1" applyFont="1" applyAlignment="1">
      <alignment vertical="center" wrapText="1"/>
    </xf>
    <xf numFmtId="165" fontId="20" fillId="0" borderId="0" xfId="0" applyNumberFormat="1" applyFont="1"/>
    <xf numFmtId="0" fontId="24" fillId="0" borderId="0" xfId="0" applyFont="1" applyAlignment="1">
      <alignment vertical="center"/>
    </xf>
    <xf numFmtId="0" fontId="24" fillId="0" borderId="0" xfId="0" applyFont="1" applyAlignment="1">
      <alignment horizontal="center" vertical="center"/>
    </xf>
    <xf numFmtId="41" fontId="12" fillId="0" borderId="0" xfId="84" applyFont="1" applyAlignment="1">
      <alignment vertical="center" wrapText="1"/>
    </xf>
    <xf numFmtId="41" fontId="21" fillId="0" borderId="0" xfId="84" applyFont="1" applyFill="1" applyAlignment="1">
      <alignment horizontal="center" vertical="center"/>
    </xf>
    <xf numFmtId="9" fontId="20" fillId="0" borderId="0" xfId="86" applyFont="1" applyAlignment="1">
      <alignment vertical="center"/>
    </xf>
    <xf numFmtId="165" fontId="24" fillId="0" borderId="0" xfId="0" applyNumberFormat="1" applyFont="1"/>
    <xf numFmtId="169" fontId="27" fillId="10" borderId="13" xfId="86" applyNumberFormat="1" applyFont="1" applyFill="1" applyBorder="1" applyAlignment="1">
      <alignment horizontal="center" vertical="center"/>
    </xf>
    <xf numFmtId="0" fontId="8" fillId="13" borderId="0" xfId="0" applyFont="1" applyFill="1" applyAlignment="1">
      <alignment vertical="center" wrapText="1"/>
    </xf>
    <xf numFmtId="0" fontId="9" fillId="0" borderId="1" xfId="0" applyFont="1" applyFill="1" applyBorder="1" applyAlignment="1">
      <alignment horizontal="left" wrapText="1"/>
    </xf>
    <xf numFmtId="0" fontId="21" fillId="0" borderId="1" xfId="0" applyFont="1" applyFill="1" applyBorder="1" applyAlignment="1">
      <alignment vertical="center" wrapText="1"/>
    </xf>
    <xf numFmtId="41" fontId="21" fillId="0" borderId="0" xfId="84" applyNumberFormat="1" applyFont="1" applyFill="1" applyBorder="1" applyAlignment="1">
      <alignment vertical="center"/>
    </xf>
    <xf numFmtId="166" fontId="7" fillId="0" borderId="0" xfId="0" applyNumberFormat="1" applyFont="1" applyFill="1" applyAlignment="1">
      <alignment vertical="center" wrapText="1"/>
    </xf>
    <xf numFmtId="166" fontId="7" fillId="0" borderId="1" xfId="0" applyNumberFormat="1" applyFont="1" applyFill="1" applyBorder="1" applyAlignment="1">
      <alignment vertical="center" wrapText="1"/>
    </xf>
    <xf numFmtId="41" fontId="7" fillId="0" borderId="0" xfId="0" applyNumberFormat="1" applyFont="1" applyFill="1" applyAlignment="1">
      <alignment wrapText="1"/>
    </xf>
    <xf numFmtId="41" fontId="8" fillId="6" borderId="1" xfId="84" applyFont="1" applyFill="1" applyBorder="1" applyAlignment="1">
      <alignment horizontal="left" vertical="center" wrapText="1"/>
    </xf>
    <xf numFmtId="41" fontId="24" fillId="14" borderId="0" xfId="0" applyNumberFormat="1" applyFont="1" applyFill="1" applyBorder="1"/>
    <xf numFmtId="165" fontId="21" fillId="0" borderId="0" xfId="0" applyNumberFormat="1" applyFont="1" applyFill="1" applyAlignment="1">
      <alignment vertical="center"/>
    </xf>
    <xf numFmtId="2" fontId="20" fillId="0" borderId="0" xfId="0" applyNumberFormat="1" applyFont="1" applyAlignment="1">
      <alignment vertical="center"/>
    </xf>
    <xf numFmtId="165" fontId="7" fillId="0" borderId="1" xfId="0" applyNumberFormat="1" applyFont="1" applyFill="1" applyBorder="1" applyAlignment="1">
      <alignment vertical="center" wrapText="1"/>
    </xf>
    <xf numFmtId="165" fontId="12" fillId="0" borderId="0" xfId="0" applyNumberFormat="1" applyFont="1" applyFill="1" applyAlignment="1">
      <alignment vertical="center" wrapText="1"/>
    </xf>
    <xf numFmtId="0" fontId="39" fillId="0" borderId="1" xfId="0" applyFont="1" applyBorder="1" applyAlignment="1">
      <alignment horizontal="center" vertical="center"/>
    </xf>
    <xf numFmtId="170" fontId="7" fillId="0" borderId="0" xfId="0" applyNumberFormat="1" applyFont="1" applyFill="1" applyAlignment="1">
      <alignment wrapText="1"/>
    </xf>
    <xf numFmtId="170" fontId="7" fillId="0" borderId="0" xfId="0" applyNumberFormat="1" applyFont="1" applyFill="1" applyAlignment="1">
      <alignment vertical="center" wrapText="1"/>
    </xf>
    <xf numFmtId="165" fontId="23" fillId="0" borderId="0" xfId="0" applyNumberFormat="1" applyFont="1" applyAlignment="1">
      <alignment vertical="center"/>
    </xf>
    <xf numFmtId="0" fontId="40" fillId="0" borderId="0" xfId="0" applyFont="1"/>
    <xf numFmtId="0" fontId="41" fillId="0" borderId="0" xfId="0" applyFont="1" applyAlignment="1">
      <alignment horizontal="center"/>
    </xf>
    <xf numFmtId="41" fontId="41" fillId="0" borderId="0" xfId="84" applyNumberFormat="1" applyFont="1"/>
    <xf numFmtId="41" fontId="20" fillId="0" borderId="0" xfId="0" applyNumberFormat="1" applyFont="1" applyAlignment="1">
      <alignment vertical="center"/>
    </xf>
    <xf numFmtId="0" fontId="7" fillId="0" borderId="11" xfId="0" applyFont="1" applyBorder="1" applyAlignment="1">
      <alignment vertical="center" wrapText="1"/>
    </xf>
    <xf numFmtId="41" fontId="0" fillId="0" borderId="0" xfId="0" applyNumberFormat="1"/>
    <xf numFmtId="165" fontId="7" fillId="0" borderId="0" xfId="0" applyNumberFormat="1" applyFont="1" applyAlignment="1">
      <alignment wrapText="1"/>
    </xf>
    <xf numFmtId="0" fontId="20" fillId="0" borderId="5" xfId="0" applyFont="1" applyBorder="1"/>
    <xf numFmtId="0" fontId="20" fillId="6" borderId="5" xfId="0" applyFont="1" applyFill="1" applyBorder="1" applyAlignment="1"/>
    <xf numFmtId="0" fontId="7" fillId="0" borderId="4" xfId="0" applyFont="1" applyFill="1" applyBorder="1" applyAlignment="1">
      <alignment horizontal="left" vertical="center" wrapText="1"/>
    </xf>
    <xf numFmtId="0" fontId="11" fillId="0" borderId="1" xfId="0" applyFont="1" applyBorder="1" applyAlignment="1">
      <alignment vertical="center" wrapText="1"/>
    </xf>
    <xf numFmtId="164" fontId="11" fillId="0" borderId="1" xfId="85" applyFont="1" applyFill="1" applyBorder="1" applyAlignment="1">
      <alignment vertical="center" wrapText="1"/>
    </xf>
    <xf numFmtId="0" fontId="11" fillId="0" borderId="1" xfId="0" applyFont="1" applyFill="1" applyBorder="1" applyAlignment="1">
      <alignment vertical="center" wrapText="1"/>
    </xf>
    <xf numFmtId="0" fontId="11" fillId="0" borderId="10" xfId="0" applyFont="1" applyBorder="1" applyAlignment="1">
      <alignment vertical="center" wrapText="1"/>
    </xf>
    <xf numFmtId="0" fontId="11" fillId="0" borderId="4" xfId="0" applyFont="1" applyFill="1" applyBorder="1" applyAlignment="1">
      <alignment horizontal="left" vertical="center" wrapText="1"/>
    </xf>
    <xf numFmtId="0" fontId="8" fillId="15" borderId="0" xfId="0" applyFont="1" applyFill="1" applyAlignment="1">
      <alignment horizontal="center" vertical="center" wrapText="1"/>
    </xf>
    <xf numFmtId="0" fontId="8" fillId="13" borderId="0" xfId="0" applyFont="1" applyFill="1" applyAlignment="1">
      <alignment horizontal="center" vertical="center" wrapText="1"/>
    </xf>
    <xf numFmtId="0" fontId="8" fillId="0" borderId="0" xfId="0" applyFont="1" applyAlignment="1">
      <alignment horizontal="center" vertical="center" wrapText="1"/>
    </xf>
    <xf numFmtId="0" fontId="20" fillId="0" borderId="0" xfId="0" applyFont="1" applyAlignment="1">
      <alignment horizontal="center"/>
    </xf>
    <xf numFmtId="0" fontId="24" fillId="16" borderId="0" xfId="0" applyFont="1" applyFill="1" applyBorder="1" applyAlignment="1">
      <alignment horizontal="center"/>
    </xf>
    <xf numFmtId="0" fontId="24" fillId="0" borderId="0" xfId="0" applyFont="1" applyAlignment="1">
      <alignment horizontal="center"/>
    </xf>
    <xf numFmtId="0" fontId="17" fillId="0" borderId="0" xfId="0" applyFont="1" applyAlignment="1">
      <alignment horizontal="center"/>
    </xf>
    <xf numFmtId="165" fontId="21" fillId="0" borderId="0" xfId="0" applyNumberFormat="1" applyFont="1" applyAlignment="1">
      <alignment horizontal="center" vertical="center"/>
    </xf>
    <xf numFmtId="0" fontId="8" fillId="0" borderId="0" xfId="0" applyFont="1" applyAlignment="1">
      <alignment horizontal="center" wrapText="1"/>
    </xf>
    <xf numFmtId="0" fontId="8" fillId="0" borderId="0" xfId="0" applyFont="1" applyAlignment="1">
      <alignment vertical="center" wrapText="1"/>
    </xf>
    <xf numFmtId="0" fontId="8" fillId="0" borderId="0" xfId="0" applyFont="1" applyAlignment="1">
      <alignment wrapText="1"/>
    </xf>
    <xf numFmtId="0" fontId="8" fillId="0" borderId="0" xfId="0" applyFont="1" applyFill="1" applyAlignment="1">
      <alignment horizontal="center" vertical="center" wrapText="1"/>
    </xf>
    <xf numFmtId="0" fontId="15" fillId="0" borderId="0" xfId="0" applyFont="1" applyAlignment="1">
      <alignment horizontal="center" wrapText="1"/>
    </xf>
    <xf numFmtId="0" fontId="42" fillId="0" borderId="0" xfId="0" applyFont="1" applyFill="1" applyAlignment="1">
      <alignment horizontal="center" vertical="center" wrapText="1"/>
    </xf>
    <xf numFmtId="0" fontId="8" fillId="0" borderId="0" xfId="0" applyFont="1" applyFill="1" applyAlignment="1">
      <alignment horizontal="center" wrapText="1"/>
    </xf>
    <xf numFmtId="0" fontId="42" fillId="0" borderId="0" xfId="0" applyFont="1" applyFill="1" applyAlignment="1">
      <alignment horizontal="center" wrapText="1"/>
    </xf>
    <xf numFmtId="0" fontId="9" fillId="0" borderId="0" xfId="0" applyFont="1" applyAlignment="1">
      <alignment horizontal="center" wrapText="1"/>
    </xf>
    <xf numFmtId="0" fontId="42" fillId="0" borderId="0" xfId="0" applyFont="1" applyAlignment="1">
      <alignment horizontal="center" wrapText="1"/>
    </xf>
    <xf numFmtId="0" fontId="9" fillId="13" borderId="0" xfId="0" applyFont="1" applyFill="1" applyAlignment="1">
      <alignment horizontal="center" vertical="center" wrapText="1"/>
    </xf>
    <xf numFmtId="165" fontId="24" fillId="0" borderId="0" xfId="0" applyNumberFormat="1" applyFont="1" applyAlignment="1">
      <alignment horizontal="center"/>
    </xf>
    <xf numFmtId="0" fontId="24" fillId="0" borderId="0" xfId="0" applyFont="1" applyFill="1" applyAlignment="1">
      <alignment horizontal="center"/>
    </xf>
    <xf numFmtId="0" fontId="24" fillId="0" borderId="0" xfId="0" applyFont="1" applyFill="1" applyBorder="1" applyAlignment="1">
      <alignment horizontal="center"/>
    </xf>
    <xf numFmtId="0" fontId="24" fillId="0" borderId="0" xfId="0" applyFont="1" applyBorder="1" applyAlignment="1">
      <alignment horizontal="center"/>
    </xf>
    <xf numFmtId="0" fontId="8" fillId="2" borderId="1" xfId="0" applyFont="1" applyFill="1" applyBorder="1" applyAlignment="1">
      <alignment horizontal="left" vertical="center" wrapText="1"/>
    </xf>
    <xf numFmtId="41" fontId="28" fillId="10" borderId="13" xfId="84" applyFont="1" applyFill="1" applyBorder="1" applyAlignment="1">
      <alignment horizontal="center" vertical="center"/>
    </xf>
    <xf numFmtId="0" fontId="12" fillId="0" borderId="10" xfId="0" applyFont="1" applyBorder="1" applyAlignment="1">
      <alignment vertical="center" wrapText="1"/>
    </xf>
    <xf numFmtId="164" fontId="12" fillId="0" borderId="1" xfId="85" applyFont="1" applyFill="1" applyBorder="1" applyAlignment="1">
      <alignment vertical="center" wrapText="1"/>
    </xf>
    <xf numFmtId="0" fontId="12" fillId="0" borderId="4" xfId="0" applyFont="1" applyFill="1" applyBorder="1" applyAlignment="1">
      <alignment horizontal="left" vertical="center" wrapText="1"/>
    </xf>
    <xf numFmtId="0" fontId="45"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23" fillId="0" borderId="1" xfId="0" applyFont="1" applyBorder="1" applyAlignment="1">
      <alignment horizontal="center"/>
    </xf>
    <xf numFmtId="0" fontId="22" fillId="0" borderId="10" xfId="0" applyFont="1" applyFill="1" applyBorder="1"/>
    <xf numFmtId="0" fontId="24" fillId="0" borderId="1" xfId="0" applyFont="1" applyFill="1" applyBorder="1"/>
    <xf numFmtId="0" fontId="24" fillId="0" borderId="1" xfId="0" applyFont="1" applyFill="1" applyBorder="1" applyAlignment="1">
      <alignment horizontal="center"/>
    </xf>
    <xf numFmtId="0" fontId="24" fillId="6" borderId="1" xfId="0" applyFont="1" applyFill="1" applyBorder="1" applyAlignment="1"/>
    <xf numFmtId="43" fontId="20" fillId="0" borderId="0" xfId="0" applyNumberFormat="1" applyFont="1"/>
    <xf numFmtId="43" fontId="20" fillId="0" borderId="0" xfId="0" applyNumberFormat="1" applyFont="1" applyFill="1" applyBorder="1"/>
    <xf numFmtId="41" fontId="21" fillId="0" borderId="0" xfId="84" applyFont="1" applyAlignment="1">
      <alignment vertical="center"/>
    </xf>
    <xf numFmtId="43" fontId="12" fillId="0" borderId="0" xfId="0" applyNumberFormat="1" applyFont="1" applyAlignment="1">
      <alignment vertical="center" wrapText="1"/>
    </xf>
    <xf numFmtId="0" fontId="10" fillId="5" borderId="10" xfId="0" applyFont="1" applyFill="1" applyBorder="1" applyAlignment="1">
      <alignment horizontal="left" vertical="center" wrapText="1"/>
    </xf>
    <xf numFmtId="165" fontId="20" fillId="0" borderId="0" xfId="0" applyNumberFormat="1" applyFont="1" applyAlignment="1">
      <alignment vertical="center"/>
    </xf>
    <xf numFmtId="165" fontId="24" fillId="0" borderId="0" xfId="0" applyNumberFormat="1" applyFont="1" applyAlignment="1">
      <alignment vertical="center"/>
    </xf>
    <xf numFmtId="166" fontId="7" fillId="0" borderId="11" xfId="84" applyNumberFormat="1" applyFont="1" applyFill="1" applyBorder="1" applyAlignment="1">
      <alignment horizontal="center" vertical="center" wrapText="1"/>
    </xf>
    <xf numFmtId="41" fontId="20" fillId="0" borderId="0" xfId="84" applyFont="1" applyAlignment="1">
      <alignment vertical="center"/>
    </xf>
    <xf numFmtId="0" fontId="7" fillId="6" borderId="5" xfId="0" applyFont="1" applyFill="1" applyBorder="1" applyAlignment="1">
      <alignment horizontal="center" wrapText="1"/>
    </xf>
    <xf numFmtId="0" fontId="7" fillId="0" borderId="0" xfId="0" applyFont="1" applyBorder="1" applyAlignment="1">
      <alignment horizontal="left" wrapText="1"/>
    </xf>
    <xf numFmtId="0" fontId="8" fillId="2"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32" fillId="12" borderId="9" xfId="0" applyFont="1" applyFill="1" applyBorder="1" applyAlignment="1">
      <alignment horizontal="center" wrapText="1"/>
    </xf>
    <xf numFmtId="0" fontId="32" fillId="12" borderId="16" xfId="0" applyFont="1" applyFill="1" applyBorder="1" applyAlignment="1">
      <alignment horizontal="center" wrapText="1"/>
    </xf>
    <xf numFmtId="0" fontId="40" fillId="0" borderId="0" xfId="0" applyFont="1" applyAlignment="1">
      <alignment horizontal="left"/>
    </xf>
    <xf numFmtId="0" fontId="41" fillId="0" borderId="0" xfId="0" applyFont="1" applyAlignment="1">
      <alignment horizontal="left"/>
    </xf>
    <xf numFmtId="0" fontId="41" fillId="0" borderId="0" xfId="0" applyFont="1" applyAlignment="1">
      <alignment horizontal="left" wrapText="1"/>
    </xf>
  </cellXfs>
  <cellStyles count="199">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Milliers" xfId="85" builtinId="3"/>
    <cellStyle name="Milliers [0]" xfId="84" builtinId="6"/>
    <cellStyle name="Normal" xfId="0" builtinId="0"/>
    <cellStyle name="Normal 2" xfId="1" xr:uid="{00000000-0005-0000-0000-0000C5000000}"/>
    <cellStyle name="Pourcentage" xfId="86" builtinId="5"/>
  </cellStyles>
  <dxfs count="0"/>
  <tableStyles count="0" defaultTableStyle="TableStyleMedium2" defaultPivotStyle="PivotStyleLight16"/>
  <colors>
    <mruColors>
      <color rgb="FF009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AB7A6-2331-3540-A98D-14B7D52256E0}">
  <sheetPr>
    <tabColor theme="7" tint="0.79998168889431442"/>
  </sheetPr>
  <dimension ref="A1:HM202"/>
  <sheetViews>
    <sheetView tabSelected="1" topLeftCell="A158" zoomScale="130" zoomScaleNormal="130" zoomScalePageLayoutView="125" workbookViewId="0">
      <selection activeCell="B192" sqref="B192"/>
    </sheetView>
  </sheetViews>
  <sheetFormatPr baseColWidth="10" defaultColWidth="9.1640625" defaultRowHeight="13" x14ac:dyDescent="0.15"/>
  <cols>
    <col min="1" max="1" width="53.6640625" style="7" bestFit="1" customWidth="1"/>
    <col min="2" max="2" width="44.33203125" style="7" customWidth="1"/>
    <col min="3" max="3" width="20.83203125" style="7" customWidth="1"/>
    <col min="4" max="4" width="4" style="7" customWidth="1"/>
    <col min="5" max="5" width="8.5" style="7" customWidth="1"/>
    <col min="6" max="6" width="3.6640625" style="7" bestFit="1" customWidth="1"/>
    <col min="7" max="7" width="4" style="7" bestFit="1" customWidth="1"/>
    <col min="8" max="8" width="15" style="7" bestFit="1" customWidth="1"/>
    <col min="9" max="9" width="8.33203125" style="7" bestFit="1" customWidth="1"/>
    <col min="10" max="10" width="3.5" style="7" bestFit="1" customWidth="1"/>
    <col min="11" max="11" width="2.83203125" style="7" bestFit="1" customWidth="1"/>
    <col min="12" max="12" width="3.6640625" style="7" customWidth="1"/>
    <col min="13" max="13" width="8.83203125" style="7" bestFit="1" customWidth="1"/>
    <col min="14" max="14" width="4.1640625" style="7" bestFit="1" customWidth="1"/>
    <col min="15" max="15" width="3.6640625" style="7" customWidth="1"/>
    <col min="16" max="16" width="8.33203125" style="7" customWidth="1"/>
    <col min="17" max="17" width="6.83203125" style="7" customWidth="1"/>
    <col min="18" max="18" width="3.83203125" style="7" bestFit="1" customWidth="1"/>
    <col min="19" max="19" width="3.6640625" style="7" bestFit="1" customWidth="1"/>
    <col min="20" max="20" width="2.33203125" style="7" customWidth="1"/>
    <col min="21" max="21" width="26.6640625" style="7" customWidth="1"/>
    <col min="22" max="22" width="30" style="7" customWidth="1"/>
    <col min="23" max="23" width="13.33203125" style="7" customWidth="1"/>
    <col min="24" max="24" width="10.5" style="7" customWidth="1"/>
    <col min="25" max="25" width="13" style="7" customWidth="1"/>
    <col min="26" max="26" width="29.6640625" style="7" customWidth="1"/>
    <col min="27" max="27" width="6.83203125" style="7" customWidth="1"/>
    <col min="28" max="28" width="16" style="7" bestFit="1" customWidth="1"/>
    <col min="29" max="29" width="12.1640625" style="7" bestFit="1" customWidth="1"/>
    <col min="30" max="30" width="16" style="7" bestFit="1" customWidth="1"/>
    <col min="31" max="64" width="9.1640625" style="7"/>
    <col min="65" max="65" width="12.1640625" style="7" bestFit="1" customWidth="1"/>
    <col min="66" max="71" width="9.1640625" style="7"/>
    <col min="72" max="72" width="12.1640625" style="7" bestFit="1" customWidth="1"/>
    <col min="73" max="78" width="9.1640625" style="7"/>
    <col min="79" max="79" width="12.1640625" style="7" bestFit="1" customWidth="1"/>
    <col min="80" max="85" width="9.1640625" style="7"/>
    <col min="86" max="86" width="12.1640625" style="7" bestFit="1" customWidth="1"/>
    <col min="87" max="92" width="9.1640625" style="7"/>
    <col min="93" max="93" width="12.1640625" style="7" bestFit="1" customWidth="1"/>
    <col min="94" max="99" width="9.1640625" style="7"/>
    <col min="100" max="100" width="12.1640625" style="7" bestFit="1" customWidth="1"/>
    <col min="101" max="106" width="9.1640625" style="7"/>
    <col min="107" max="107" width="12.1640625" style="7" bestFit="1" customWidth="1"/>
    <col min="108" max="113" width="9.1640625" style="7"/>
    <col min="114" max="114" width="12.1640625" style="7" bestFit="1" customWidth="1"/>
    <col min="115" max="120" width="9.1640625" style="7"/>
    <col min="121" max="121" width="12.1640625" style="7" bestFit="1" customWidth="1"/>
    <col min="122" max="127" width="9.1640625" style="7"/>
    <col min="128" max="128" width="12.1640625" style="7" bestFit="1" customWidth="1"/>
    <col min="129" max="134" width="9.1640625" style="7"/>
    <col min="135" max="135" width="12.1640625" style="7" bestFit="1" customWidth="1"/>
    <col min="136" max="141" width="9.1640625" style="7"/>
    <col min="142" max="142" width="12.1640625" style="7" bestFit="1" customWidth="1"/>
    <col min="143" max="148" width="9.1640625" style="7"/>
    <col min="149" max="149" width="12.1640625" style="7" bestFit="1" customWidth="1"/>
    <col min="150" max="155" width="9.1640625" style="7"/>
    <col min="156" max="156" width="12.1640625" style="7" bestFit="1" customWidth="1"/>
    <col min="157" max="162" width="9.1640625" style="7"/>
    <col min="163" max="163" width="12.1640625" style="7" bestFit="1" customWidth="1"/>
    <col min="164" max="169" width="9.1640625" style="7"/>
    <col min="170" max="170" width="12.1640625" style="7" bestFit="1" customWidth="1"/>
    <col min="171" max="176" width="9.1640625" style="7"/>
    <col min="177" max="177" width="12.1640625" style="7" bestFit="1" customWidth="1"/>
    <col min="178" max="183" width="9.1640625" style="7"/>
    <col min="184" max="184" width="12.1640625" style="7" bestFit="1" customWidth="1"/>
    <col min="185" max="190" width="9.1640625" style="7"/>
    <col min="191" max="191" width="12.1640625" style="7" bestFit="1" customWidth="1"/>
    <col min="192" max="16384" width="9.1640625" style="7"/>
  </cols>
  <sheetData>
    <row r="1" spans="1:26" ht="14" x14ac:dyDescent="0.15">
      <c r="A1" s="1" t="s">
        <v>10</v>
      </c>
      <c r="B1" s="2" t="s">
        <v>73</v>
      </c>
      <c r="C1" s="3"/>
      <c r="D1" s="4"/>
      <c r="E1" s="5"/>
      <c r="F1" s="3"/>
      <c r="G1" s="3"/>
      <c r="H1" s="3"/>
      <c r="I1" s="3"/>
      <c r="J1" s="3"/>
      <c r="K1" s="3"/>
      <c r="L1" s="3"/>
      <c r="M1" s="3"/>
      <c r="N1" s="3"/>
      <c r="O1" s="3"/>
      <c r="P1" s="3"/>
      <c r="Q1" s="3"/>
      <c r="R1" s="3"/>
      <c r="S1" s="3"/>
      <c r="T1" s="3"/>
      <c r="U1" s="3"/>
      <c r="V1" s="3"/>
      <c r="W1" s="3"/>
      <c r="X1" s="3"/>
      <c r="Y1" s="3"/>
      <c r="Z1" s="3"/>
    </row>
    <row r="2" spans="1:26" ht="14" x14ac:dyDescent="0.15">
      <c r="A2" s="8" t="s">
        <v>9</v>
      </c>
      <c r="B2" s="3" t="s">
        <v>69</v>
      </c>
      <c r="C2" s="9"/>
      <c r="D2" s="4"/>
      <c r="E2" s="10"/>
      <c r="F2" s="302" t="s">
        <v>14</v>
      </c>
      <c r="G2" s="302"/>
      <c r="H2" s="302"/>
      <c r="I2" s="302"/>
      <c r="J2" s="302"/>
      <c r="K2" s="302"/>
      <c r="L2" s="302"/>
      <c r="Q2" s="4"/>
      <c r="R2" s="4"/>
      <c r="S2" s="4"/>
      <c r="T2" s="4"/>
      <c r="U2" s="4"/>
      <c r="V2" s="4"/>
      <c r="W2" s="4"/>
      <c r="X2" s="4"/>
      <c r="Y2" s="4"/>
      <c r="Z2" s="4"/>
    </row>
    <row r="3" spans="1:26" ht="14" x14ac:dyDescent="0.15">
      <c r="A3" s="8" t="s">
        <v>11</v>
      </c>
      <c r="B3" s="11" t="s">
        <v>26</v>
      </c>
      <c r="C3" s="3"/>
      <c r="Z3" s="3"/>
    </row>
    <row r="4" spans="1:26" ht="14" x14ac:dyDescent="0.15">
      <c r="A4" s="8" t="s">
        <v>12</v>
      </c>
      <c r="B4" s="3" t="s">
        <v>27</v>
      </c>
      <c r="C4" s="3"/>
      <c r="D4" s="4"/>
      <c r="E4" s="12"/>
      <c r="F4" s="302" t="s">
        <v>15</v>
      </c>
      <c r="G4" s="302"/>
      <c r="H4" s="302"/>
      <c r="I4" s="302"/>
      <c r="J4" s="302"/>
      <c r="Z4" s="3"/>
    </row>
    <row r="5" spans="1:26" ht="14" x14ac:dyDescent="0.15">
      <c r="A5" s="183" t="s">
        <v>13</v>
      </c>
      <c r="B5" s="184" t="s">
        <v>271</v>
      </c>
      <c r="C5" s="13"/>
      <c r="D5" s="13"/>
      <c r="E5" s="13"/>
      <c r="F5" s="13"/>
      <c r="G5" s="13"/>
      <c r="H5" s="13"/>
      <c r="I5" s="13"/>
      <c r="J5" s="13"/>
      <c r="K5" s="13"/>
      <c r="L5" s="13"/>
      <c r="M5" s="13"/>
      <c r="N5" s="13"/>
      <c r="O5" s="13"/>
      <c r="P5" s="13"/>
      <c r="Q5" s="13"/>
      <c r="R5" s="13"/>
      <c r="S5" s="13"/>
      <c r="T5" s="13"/>
      <c r="U5" s="13"/>
      <c r="V5" s="13"/>
      <c r="W5" s="13"/>
      <c r="X5" s="13"/>
      <c r="Y5" s="13"/>
      <c r="Z5" s="13"/>
    </row>
    <row r="6" spans="1:26" ht="41" customHeight="1" x14ac:dyDescent="0.15">
      <c r="A6" s="15" t="s">
        <v>17</v>
      </c>
      <c r="B6" s="15" t="s">
        <v>8</v>
      </c>
      <c r="C6" s="303" t="s">
        <v>16</v>
      </c>
      <c r="D6" s="175"/>
      <c r="E6" s="17" t="s">
        <v>309</v>
      </c>
      <c r="F6" s="18"/>
      <c r="G6" s="18"/>
      <c r="H6" s="82"/>
      <c r="I6" s="17" t="s">
        <v>310</v>
      </c>
      <c r="J6" s="16"/>
      <c r="K6" s="16"/>
      <c r="L6" s="82"/>
      <c r="M6" s="17" t="s">
        <v>311</v>
      </c>
      <c r="N6" s="16"/>
      <c r="O6" s="16"/>
      <c r="P6" s="82"/>
      <c r="Q6" s="17" t="s">
        <v>312</v>
      </c>
      <c r="R6" s="16"/>
      <c r="S6" s="16"/>
      <c r="T6" s="82"/>
      <c r="U6" s="15" t="s">
        <v>21</v>
      </c>
      <c r="V6" s="15" t="s">
        <v>22</v>
      </c>
      <c r="W6" s="279" t="s">
        <v>23</v>
      </c>
      <c r="X6" s="15" t="s">
        <v>24</v>
      </c>
      <c r="Y6" s="15" t="s">
        <v>25</v>
      </c>
      <c r="Z6" s="15" t="s">
        <v>28</v>
      </c>
    </row>
    <row r="7" spans="1:26" ht="28" x14ac:dyDescent="0.15">
      <c r="A7" s="15"/>
      <c r="B7" s="15"/>
      <c r="C7" s="303"/>
      <c r="D7" s="175"/>
      <c r="E7" s="163" t="s">
        <v>0</v>
      </c>
      <c r="F7" s="163" t="s">
        <v>1</v>
      </c>
      <c r="G7" s="163" t="s">
        <v>2</v>
      </c>
      <c r="H7" s="82"/>
      <c r="I7" s="163" t="s">
        <v>18</v>
      </c>
      <c r="J7" s="163" t="s">
        <v>19</v>
      </c>
      <c r="K7" s="163" t="s">
        <v>20</v>
      </c>
      <c r="L7" s="82"/>
      <c r="M7" s="163" t="s">
        <v>3</v>
      </c>
      <c r="N7" s="163" t="s">
        <v>77</v>
      </c>
      <c r="O7" s="163" t="s">
        <v>4</v>
      </c>
      <c r="P7" s="82"/>
      <c r="Q7" s="163" t="s">
        <v>5</v>
      </c>
      <c r="R7" s="163" t="s">
        <v>6</v>
      </c>
      <c r="S7" s="163" t="s">
        <v>7</v>
      </c>
      <c r="T7" s="82"/>
      <c r="U7" s="18"/>
      <c r="V7" s="16"/>
      <c r="W7" s="18"/>
      <c r="X7" s="18"/>
      <c r="Y7" s="18"/>
      <c r="Z7" s="18"/>
    </row>
    <row r="8" spans="1:26" x14ac:dyDescent="0.15">
      <c r="A8" s="304" t="s">
        <v>80</v>
      </c>
      <c r="B8" s="305"/>
      <c r="C8" s="305"/>
      <c r="D8" s="305"/>
      <c r="E8" s="305"/>
      <c r="F8" s="305"/>
      <c r="G8" s="305"/>
      <c r="H8" s="305"/>
      <c r="I8" s="305"/>
      <c r="J8" s="305"/>
      <c r="K8" s="305"/>
      <c r="L8" s="305"/>
      <c r="M8" s="305"/>
      <c r="N8" s="305"/>
      <c r="O8" s="305"/>
      <c r="P8" s="305"/>
      <c r="Q8" s="305"/>
      <c r="R8" s="305"/>
      <c r="S8" s="305"/>
      <c r="T8" s="305"/>
      <c r="U8" s="305"/>
      <c r="V8" s="305"/>
      <c r="W8" s="305"/>
      <c r="X8" s="305"/>
      <c r="Y8" s="305"/>
      <c r="Z8" s="306"/>
    </row>
    <row r="9" spans="1:26" ht="14" x14ac:dyDescent="0.15">
      <c r="A9" s="59" t="s">
        <v>29</v>
      </c>
      <c r="B9" s="20"/>
      <c r="C9" s="20"/>
      <c r="D9" s="20"/>
      <c r="E9" s="20"/>
      <c r="F9" s="20"/>
      <c r="G9" s="20"/>
      <c r="H9" s="20"/>
      <c r="I9" s="20"/>
      <c r="J9" s="20"/>
      <c r="K9" s="20"/>
      <c r="L9" s="20"/>
      <c r="M9" s="20"/>
      <c r="N9" s="20"/>
      <c r="O9" s="20"/>
      <c r="P9" s="20"/>
      <c r="Q9" s="20"/>
      <c r="R9" s="20"/>
      <c r="S9" s="20"/>
      <c r="T9" s="20"/>
      <c r="U9" s="20"/>
      <c r="V9" s="20"/>
      <c r="W9" s="20"/>
      <c r="X9" s="20"/>
      <c r="Y9" s="20"/>
      <c r="Z9" s="21"/>
    </row>
    <row r="10" spans="1:26" ht="28" x14ac:dyDescent="0.15">
      <c r="A10" s="22" t="s">
        <v>30</v>
      </c>
      <c r="B10" s="23"/>
      <c r="C10" s="23"/>
      <c r="D10" s="23"/>
      <c r="E10" s="23"/>
      <c r="F10" s="23"/>
      <c r="G10" s="23"/>
      <c r="H10" s="23"/>
      <c r="I10" s="23"/>
      <c r="J10" s="23"/>
      <c r="K10" s="23"/>
      <c r="L10" s="23"/>
      <c r="M10" s="23"/>
      <c r="N10" s="23"/>
      <c r="O10" s="23"/>
      <c r="P10" s="23"/>
      <c r="Q10" s="23"/>
      <c r="R10" s="23"/>
      <c r="S10" s="23"/>
      <c r="T10" s="23"/>
      <c r="U10" s="23"/>
      <c r="V10" s="23"/>
      <c r="W10" s="23"/>
      <c r="X10" s="23"/>
      <c r="Y10" s="52"/>
      <c r="Z10" s="24" t="s">
        <v>128</v>
      </c>
    </row>
    <row r="11" spans="1:26" ht="138" customHeight="1" x14ac:dyDescent="0.15">
      <c r="A11" s="25" t="s">
        <v>264</v>
      </c>
      <c r="B11" s="56" t="s">
        <v>257</v>
      </c>
      <c r="C11" s="26"/>
      <c r="D11" s="82"/>
      <c r="E11" s="26"/>
      <c r="F11" s="26"/>
      <c r="G11" s="26"/>
      <c r="H11" s="82"/>
      <c r="I11" s="26"/>
      <c r="J11" s="26"/>
      <c r="K11" s="26"/>
      <c r="L11" s="82"/>
      <c r="M11" s="26"/>
      <c r="N11" s="26"/>
      <c r="O11" s="237" t="s">
        <v>156</v>
      </c>
      <c r="P11" s="82"/>
      <c r="Q11" s="26"/>
      <c r="R11" s="26"/>
      <c r="S11" s="26"/>
      <c r="T11" s="82"/>
      <c r="U11" s="25" t="s">
        <v>81</v>
      </c>
      <c r="V11" s="26"/>
      <c r="W11" s="172">
        <f>4611.58277143166*1.15</f>
        <v>5303.3201871464089</v>
      </c>
      <c r="X11" s="214">
        <v>354500</v>
      </c>
      <c r="Y11" s="26"/>
      <c r="Z11" s="30"/>
    </row>
    <row r="12" spans="1:26" ht="28" x14ac:dyDescent="0.15">
      <c r="A12" s="36" t="s">
        <v>31</v>
      </c>
      <c r="B12" s="23"/>
      <c r="C12" s="23"/>
      <c r="D12" s="82"/>
      <c r="E12" s="23"/>
      <c r="F12" s="23"/>
      <c r="G12" s="23"/>
      <c r="H12" s="23"/>
      <c r="I12" s="23"/>
      <c r="J12" s="23"/>
      <c r="K12" s="23"/>
      <c r="L12" s="23"/>
      <c r="M12" s="23"/>
      <c r="N12" s="23"/>
      <c r="O12" s="23"/>
      <c r="P12" s="23"/>
      <c r="Q12" s="23"/>
      <c r="R12" s="23"/>
      <c r="S12" s="23"/>
      <c r="T12" s="23"/>
      <c r="U12" s="23"/>
      <c r="V12" s="23"/>
      <c r="W12" s="23"/>
      <c r="X12" s="23"/>
      <c r="Y12" s="52"/>
      <c r="Z12" s="24" t="s">
        <v>129</v>
      </c>
    </row>
    <row r="13" spans="1:26" ht="53" customHeight="1" x14ac:dyDescent="0.15">
      <c r="A13" s="139" t="s">
        <v>32</v>
      </c>
      <c r="B13" s="25" t="s">
        <v>477</v>
      </c>
      <c r="C13" s="26"/>
      <c r="D13" s="82"/>
      <c r="E13" s="26"/>
      <c r="F13" s="26"/>
      <c r="G13" s="237" t="s">
        <v>156</v>
      </c>
      <c r="H13" s="82"/>
      <c r="I13" s="27"/>
      <c r="J13" s="32"/>
      <c r="K13" s="32"/>
      <c r="L13" s="82"/>
      <c r="M13" s="33"/>
      <c r="N13" s="33"/>
      <c r="O13" s="33"/>
      <c r="P13" s="82"/>
      <c r="Q13" s="33"/>
      <c r="R13" s="237" t="s">
        <v>156</v>
      </c>
      <c r="S13" s="25"/>
      <c r="T13" s="82"/>
      <c r="U13" s="25" t="s">
        <v>82</v>
      </c>
      <c r="V13" s="26"/>
      <c r="W13" s="173">
        <f>768.55*1.15+920.8</f>
        <v>1804.6324999999997</v>
      </c>
      <c r="X13" s="26"/>
      <c r="Y13" s="26"/>
      <c r="Z13" s="28"/>
    </row>
    <row r="14" spans="1:26" ht="56" x14ac:dyDescent="0.15">
      <c r="A14" s="25" t="s">
        <v>33</v>
      </c>
      <c r="B14" s="25" t="s">
        <v>192</v>
      </c>
      <c r="C14" s="26"/>
      <c r="D14" s="82"/>
      <c r="E14" s="237" t="s">
        <v>156</v>
      </c>
      <c r="F14" s="237" t="s">
        <v>156</v>
      </c>
      <c r="G14" s="237" t="s">
        <v>156</v>
      </c>
      <c r="H14" s="82"/>
      <c r="I14" s="237" t="s">
        <v>156</v>
      </c>
      <c r="J14" s="237" t="s">
        <v>156</v>
      </c>
      <c r="K14" s="237" t="s">
        <v>156</v>
      </c>
      <c r="L14" s="82"/>
      <c r="M14" s="25"/>
      <c r="N14" s="25"/>
      <c r="O14" s="237" t="s">
        <v>156</v>
      </c>
      <c r="P14" s="82"/>
      <c r="Q14" s="237" t="s">
        <v>156</v>
      </c>
      <c r="R14" s="237" t="s">
        <v>156</v>
      </c>
      <c r="S14" s="237" t="s">
        <v>156</v>
      </c>
      <c r="T14" s="82"/>
      <c r="U14" s="25" t="s">
        <v>83</v>
      </c>
      <c r="V14" s="26"/>
      <c r="W14" s="173">
        <f>1219.59213789928*1.15</f>
        <v>1402.5309585841719</v>
      </c>
      <c r="X14" s="26"/>
      <c r="Y14" s="26"/>
      <c r="Z14" s="35"/>
    </row>
    <row r="15" spans="1:26" ht="28" x14ac:dyDescent="0.15">
      <c r="A15" s="36" t="s">
        <v>117</v>
      </c>
      <c r="B15" s="37"/>
      <c r="C15" s="37"/>
      <c r="D15" s="37"/>
      <c r="E15" s="37"/>
      <c r="F15" s="37"/>
      <c r="G15" s="37"/>
      <c r="H15" s="37"/>
      <c r="I15" s="37"/>
      <c r="J15" s="37"/>
      <c r="K15" s="37"/>
      <c r="L15" s="37"/>
      <c r="M15" s="37"/>
      <c r="N15" s="37"/>
      <c r="O15" s="37"/>
      <c r="P15" s="37"/>
      <c r="Q15" s="37"/>
      <c r="R15" s="37"/>
      <c r="S15" s="37"/>
      <c r="T15" s="37"/>
      <c r="U15" s="37"/>
      <c r="V15" s="37"/>
      <c r="W15" s="37"/>
      <c r="X15" s="37"/>
      <c r="Y15" s="22"/>
      <c r="Z15" s="24" t="s">
        <v>143</v>
      </c>
    </row>
    <row r="16" spans="1:26" s="39" customFormat="1" ht="140" x14ac:dyDescent="0.15">
      <c r="A16" s="25" t="s">
        <v>118</v>
      </c>
      <c r="B16" s="25" t="s">
        <v>265</v>
      </c>
      <c r="D16" s="82"/>
      <c r="E16" s="237" t="s">
        <v>156</v>
      </c>
      <c r="F16" s="237" t="s">
        <v>156</v>
      </c>
      <c r="G16" s="237" t="s">
        <v>156</v>
      </c>
      <c r="H16" s="82"/>
      <c r="I16" s="237" t="s">
        <v>156</v>
      </c>
      <c r="J16" s="237" t="s">
        <v>156</v>
      </c>
      <c r="K16" s="237" t="s">
        <v>156</v>
      </c>
      <c r="L16" s="82"/>
      <c r="M16" s="38"/>
      <c r="N16" s="38"/>
      <c r="O16" s="237" t="s">
        <v>156</v>
      </c>
      <c r="P16" s="82"/>
      <c r="Q16" s="237" t="s">
        <v>156</v>
      </c>
      <c r="R16" s="237" t="s">
        <v>156</v>
      </c>
      <c r="S16" s="237" t="s">
        <v>156</v>
      </c>
      <c r="T16" s="82"/>
      <c r="U16" s="25" t="s">
        <v>84</v>
      </c>
      <c r="V16" s="38"/>
      <c r="W16" s="173">
        <f>14879.0240823713*1.15/2</f>
        <v>8555.4388473634972</v>
      </c>
      <c r="X16" s="38"/>
      <c r="Y16" s="173">
        <f>14879.0240823713*1.15/2</f>
        <v>8555.4388473634972</v>
      </c>
      <c r="Z16" s="38"/>
    </row>
    <row r="17" spans="1:28" s="43" customFormat="1" ht="53" customHeight="1" x14ac:dyDescent="0.15">
      <c r="A17" s="25" t="s">
        <v>85</v>
      </c>
      <c r="B17" s="40" t="s">
        <v>232</v>
      </c>
      <c r="C17" s="41"/>
      <c r="D17" s="82"/>
      <c r="E17" s="38"/>
      <c r="F17" s="40"/>
      <c r="G17" s="40"/>
      <c r="H17" s="82"/>
      <c r="I17" s="237" t="s">
        <v>156</v>
      </c>
      <c r="J17" s="237" t="s">
        <v>156</v>
      </c>
      <c r="K17" s="237" t="s">
        <v>156</v>
      </c>
      <c r="L17" s="82"/>
      <c r="M17" s="40"/>
      <c r="N17" s="40"/>
      <c r="O17" s="40"/>
      <c r="P17" s="82"/>
      <c r="Q17" s="42"/>
      <c r="R17" s="42"/>
      <c r="S17" s="40"/>
      <c r="T17" s="82"/>
      <c r="U17" s="25" t="s">
        <v>86</v>
      </c>
      <c r="V17" s="41"/>
      <c r="W17" s="228"/>
      <c r="X17" s="41"/>
      <c r="Y17" s="173">
        <f>6427.25056672922*1.15</f>
        <v>7391.3381517386024</v>
      </c>
      <c r="Z17" s="44"/>
    </row>
    <row r="18" spans="1:28" ht="28" x14ac:dyDescent="0.15">
      <c r="A18" s="25" t="s">
        <v>266</v>
      </c>
      <c r="B18" s="25" t="s">
        <v>401</v>
      </c>
      <c r="C18" s="26"/>
      <c r="D18" s="174"/>
      <c r="E18" s="26"/>
      <c r="F18" s="26"/>
      <c r="G18" s="26"/>
      <c r="H18" s="82"/>
      <c r="I18" s="237" t="s">
        <v>156</v>
      </c>
      <c r="J18" s="27"/>
      <c r="K18" s="27"/>
      <c r="L18" s="82"/>
      <c r="M18" s="237" t="s">
        <v>156</v>
      </c>
      <c r="N18" s="27"/>
      <c r="O18" s="27"/>
      <c r="P18" s="82"/>
      <c r="Q18" s="27"/>
      <c r="R18" s="27"/>
      <c r="S18" s="237" t="s">
        <v>156</v>
      </c>
      <c r="T18" s="82"/>
      <c r="U18" s="45" t="s">
        <v>154</v>
      </c>
      <c r="V18" s="41"/>
      <c r="W18" s="229">
        <f>2667.85780165468*1.15</f>
        <v>3068.0364719028817</v>
      </c>
      <c r="X18" s="26"/>
      <c r="Y18" s="26"/>
      <c r="Z18" s="28"/>
    </row>
    <row r="19" spans="1:28" ht="84" customHeight="1" x14ac:dyDescent="0.15">
      <c r="A19" s="25" t="s">
        <v>479</v>
      </c>
      <c r="B19" s="25" t="s">
        <v>478</v>
      </c>
      <c r="C19" s="26"/>
      <c r="D19" s="174"/>
      <c r="E19" s="26"/>
      <c r="F19" s="26"/>
      <c r="G19" s="26"/>
      <c r="H19" s="82"/>
      <c r="I19" s="237" t="s">
        <v>156</v>
      </c>
      <c r="J19" s="27"/>
      <c r="K19" s="27"/>
      <c r="L19" s="82"/>
      <c r="M19" s="237" t="s">
        <v>156</v>
      </c>
      <c r="N19" s="27"/>
      <c r="O19" s="27"/>
      <c r="P19" s="82"/>
      <c r="Q19" s="27"/>
      <c r="R19" s="27"/>
      <c r="S19" s="237" t="s">
        <v>156</v>
      </c>
      <c r="T19" s="82"/>
      <c r="U19" s="45" t="s">
        <v>186</v>
      </c>
      <c r="V19" s="41"/>
      <c r="W19" s="173">
        <f>4344.7969912662*1.15</f>
        <v>4996.5165399561301</v>
      </c>
      <c r="X19" s="26"/>
      <c r="Y19" s="26"/>
      <c r="Z19" s="28"/>
    </row>
    <row r="20" spans="1:28" ht="33" customHeight="1" x14ac:dyDescent="0.15">
      <c r="A20" s="25" t="s">
        <v>397</v>
      </c>
      <c r="B20" s="25" t="s">
        <v>459</v>
      </c>
      <c r="C20" s="26"/>
      <c r="D20" s="174"/>
      <c r="E20" s="26"/>
      <c r="F20" s="26"/>
      <c r="G20" s="26"/>
      <c r="H20" s="82"/>
      <c r="I20" s="237"/>
      <c r="J20" s="237" t="s">
        <v>156</v>
      </c>
      <c r="K20" s="27"/>
      <c r="L20" s="82"/>
      <c r="M20" s="237"/>
      <c r="N20" s="27"/>
      <c r="O20" s="27"/>
      <c r="P20" s="82"/>
      <c r="Q20" s="27"/>
      <c r="R20" s="27"/>
      <c r="S20" s="237"/>
      <c r="T20" s="82"/>
      <c r="U20" s="45" t="s">
        <v>403</v>
      </c>
      <c r="V20" s="41"/>
      <c r="W20" s="173">
        <v>15384.615384615385</v>
      </c>
      <c r="X20" s="26"/>
      <c r="Y20" s="26"/>
      <c r="Z20" s="28"/>
      <c r="AB20" s="295"/>
    </row>
    <row r="21" spans="1:28" ht="28" x14ac:dyDescent="0.15">
      <c r="A21" s="22" t="s">
        <v>267</v>
      </c>
      <c r="B21" s="37"/>
      <c r="C21" s="37"/>
      <c r="D21" s="37"/>
      <c r="E21" s="37"/>
      <c r="F21" s="37"/>
      <c r="G21" s="37"/>
      <c r="H21" s="37"/>
      <c r="I21" s="37"/>
      <c r="J21" s="37"/>
      <c r="K21" s="37"/>
      <c r="L21" s="37"/>
      <c r="M21" s="37"/>
      <c r="N21" s="37"/>
      <c r="O21" s="37"/>
      <c r="P21" s="37"/>
      <c r="Q21" s="37"/>
      <c r="R21" s="37"/>
      <c r="S21" s="37"/>
      <c r="T21" s="37"/>
      <c r="U21" s="37"/>
      <c r="V21" s="37"/>
      <c r="W21" s="37"/>
      <c r="X21" s="22"/>
      <c r="Y21" s="22"/>
      <c r="Z21" s="24" t="s">
        <v>131</v>
      </c>
    </row>
    <row r="22" spans="1:28" ht="135" customHeight="1" x14ac:dyDescent="0.15">
      <c r="A22" s="25" t="s">
        <v>287</v>
      </c>
      <c r="B22" s="25" t="s">
        <v>251</v>
      </c>
      <c r="D22" s="174"/>
      <c r="E22" s="26"/>
      <c r="F22" s="26"/>
      <c r="G22" s="27"/>
      <c r="H22" s="82"/>
      <c r="I22" s="27"/>
      <c r="J22" s="27"/>
      <c r="K22" s="27"/>
      <c r="L22" s="82"/>
      <c r="M22" s="27"/>
      <c r="N22" s="50"/>
      <c r="O22" s="50"/>
      <c r="P22" s="82"/>
      <c r="Q22" s="237" t="s">
        <v>156</v>
      </c>
      <c r="R22" s="27"/>
      <c r="S22" s="27"/>
      <c r="T22" s="82"/>
      <c r="U22" s="25" t="s">
        <v>188</v>
      </c>
      <c r="V22" s="26"/>
      <c r="W22" s="173">
        <f>9512.82*1.15</f>
        <v>10939.742999999999</v>
      </c>
      <c r="Y22" s="26"/>
      <c r="Z22" s="28"/>
    </row>
    <row r="23" spans="1:28" ht="86" customHeight="1" x14ac:dyDescent="0.15">
      <c r="A23" s="25" t="s">
        <v>34</v>
      </c>
      <c r="B23" s="25" t="s">
        <v>388</v>
      </c>
      <c r="C23" s="26"/>
      <c r="D23" s="174"/>
      <c r="E23" s="26"/>
      <c r="F23" s="26"/>
      <c r="G23" s="27"/>
      <c r="H23" s="82"/>
      <c r="I23" s="26"/>
      <c r="J23" s="26"/>
      <c r="K23" s="27"/>
      <c r="L23" s="82"/>
      <c r="M23" s="26"/>
      <c r="N23" s="26"/>
      <c r="O23" s="26"/>
      <c r="P23" s="82"/>
      <c r="Q23" s="237" t="s">
        <v>156</v>
      </c>
      <c r="R23" s="26"/>
      <c r="S23" s="27"/>
      <c r="T23" s="82"/>
      <c r="U23" s="25" t="s">
        <v>87</v>
      </c>
      <c r="V23" s="26"/>
      <c r="W23" s="173">
        <f>13583.21*1.15</f>
        <v>15620.691499999997</v>
      </c>
      <c r="X23" s="26"/>
      <c r="Y23" s="26"/>
      <c r="Z23" s="28"/>
    </row>
    <row r="24" spans="1:28" ht="56" x14ac:dyDescent="0.15">
      <c r="A24" s="25" t="s">
        <v>35</v>
      </c>
      <c r="B24" s="25" t="s">
        <v>250</v>
      </c>
      <c r="C24" s="26"/>
      <c r="D24" s="174"/>
      <c r="E24" s="25"/>
      <c r="F24" s="25"/>
      <c r="G24" s="25"/>
      <c r="H24" s="82"/>
      <c r="I24" s="25"/>
      <c r="J24" s="25"/>
      <c r="K24" s="27"/>
      <c r="L24" s="82"/>
      <c r="M24" s="26"/>
      <c r="N24" s="27"/>
      <c r="O24" s="27"/>
      <c r="P24" s="82"/>
      <c r="Q24" s="237" t="s">
        <v>156</v>
      </c>
      <c r="R24" s="27"/>
      <c r="S24" s="27"/>
      <c r="T24" s="82"/>
      <c r="U24" s="25" t="s">
        <v>155</v>
      </c>
      <c r="V24" s="26"/>
      <c r="W24" s="173">
        <f>581.897898795195*1.15</f>
        <v>669.1825836144742</v>
      </c>
      <c r="X24" s="26"/>
      <c r="Y24" s="26"/>
      <c r="Z24" s="28"/>
    </row>
    <row r="25" spans="1:28" ht="35" customHeight="1" x14ac:dyDescent="0.15">
      <c r="A25" s="25" t="s">
        <v>76</v>
      </c>
      <c r="B25" s="56" t="s">
        <v>288</v>
      </c>
      <c r="C25" s="26"/>
      <c r="D25" s="174"/>
      <c r="E25" s="25"/>
      <c r="F25" s="25"/>
      <c r="G25" s="25"/>
      <c r="H25" s="82"/>
      <c r="I25" s="25"/>
      <c r="J25" s="25"/>
      <c r="K25" s="25"/>
      <c r="L25" s="82"/>
      <c r="M25" s="27"/>
      <c r="N25" s="33"/>
      <c r="O25" s="33"/>
      <c r="P25" s="82"/>
      <c r="Q25" s="237" t="s">
        <v>156</v>
      </c>
      <c r="R25" s="33"/>
      <c r="S25" s="33"/>
      <c r="T25" s="82"/>
      <c r="U25" s="25" t="s">
        <v>88</v>
      </c>
      <c r="V25" s="26"/>
      <c r="W25" s="173">
        <f>1585.46977926907*1.15</f>
        <v>1823.2902461594304</v>
      </c>
      <c r="X25" s="26"/>
      <c r="Y25" s="26"/>
      <c r="Z25" s="28"/>
    </row>
    <row r="26" spans="1:28" ht="28" x14ac:dyDescent="0.15">
      <c r="A26" s="52" t="s">
        <v>395</v>
      </c>
      <c r="B26" s="23"/>
      <c r="C26" s="23"/>
      <c r="D26" s="23"/>
      <c r="E26" s="23"/>
      <c r="F26" s="23"/>
      <c r="G26" s="23"/>
      <c r="H26" s="23"/>
      <c r="I26" s="23"/>
      <c r="J26" s="23"/>
      <c r="K26" s="23"/>
      <c r="L26" s="23"/>
      <c r="M26" s="23"/>
      <c r="N26" s="23"/>
      <c r="O26" s="23"/>
      <c r="P26" s="23"/>
      <c r="Q26" s="23"/>
      <c r="R26" s="23"/>
      <c r="S26" s="23"/>
      <c r="T26" s="23"/>
      <c r="U26" s="23"/>
      <c r="V26" s="23"/>
      <c r="W26" s="23"/>
      <c r="X26" s="23"/>
      <c r="Y26" s="52"/>
      <c r="Z26" s="24" t="s">
        <v>128</v>
      </c>
    </row>
    <row r="27" spans="1:28" ht="68" customHeight="1" x14ac:dyDescent="0.15">
      <c r="A27" s="25" t="s">
        <v>272</v>
      </c>
      <c r="B27" s="25" t="s">
        <v>233</v>
      </c>
      <c r="C27" s="26"/>
      <c r="D27" s="174"/>
      <c r="E27" s="26"/>
      <c r="F27" s="26"/>
      <c r="G27" s="25"/>
      <c r="H27" s="82"/>
      <c r="I27" s="48"/>
      <c r="J27" s="237" t="s">
        <v>156</v>
      </c>
      <c r="K27" s="48"/>
      <c r="L27" s="82"/>
      <c r="M27" s="26"/>
      <c r="N27" s="26"/>
      <c r="O27" s="26"/>
      <c r="P27" s="82"/>
      <c r="Q27" s="26"/>
      <c r="R27" s="26"/>
      <c r="S27" s="26"/>
      <c r="T27" s="82"/>
      <c r="U27" s="25" t="s">
        <v>146</v>
      </c>
      <c r="V27" s="26"/>
      <c r="W27" s="173">
        <f>6587.77938188021*1.15</f>
        <v>7575.9462891622416</v>
      </c>
      <c r="X27" s="26"/>
      <c r="Y27" s="26"/>
      <c r="Z27" s="176"/>
    </row>
    <row r="28" spans="1:28" ht="42" x14ac:dyDescent="0.15">
      <c r="A28" s="25" t="s">
        <v>396</v>
      </c>
      <c r="B28" s="25" t="s">
        <v>389</v>
      </c>
      <c r="C28" s="47"/>
      <c r="D28" s="174"/>
      <c r="E28" s="26"/>
      <c r="F28" s="26"/>
      <c r="G28" s="26"/>
      <c r="H28" s="82"/>
      <c r="I28" s="27"/>
      <c r="J28" s="34"/>
      <c r="K28" s="237" t="s">
        <v>156</v>
      </c>
      <c r="L28" s="82"/>
      <c r="M28" s="27"/>
      <c r="N28" s="25"/>
      <c r="O28" s="25"/>
      <c r="P28" s="82"/>
      <c r="Q28" s="26"/>
      <c r="R28" s="26"/>
      <c r="S28" s="26"/>
      <c r="T28" s="82"/>
      <c r="U28" s="25" t="s">
        <v>289</v>
      </c>
      <c r="V28" s="26"/>
      <c r="W28" s="173">
        <f>6631*1.15</f>
        <v>7625.65</v>
      </c>
      <c r="X28" s="26"/>
      <c r="Y28" s="26"/>
      <c r="Z28" s="28"/>
    </row>
    <row r="29" spans="1:28" ht="14" x14ac:dyDescent="0.15">
      <c r="A29" s="59" t="s">
        <v>36</v>
      </c>
      <c r="B29" s="60"/>
      <c r="C29" s="60"/>
      <c r="D29" s="60"/>
      <c r="E29" s="60"/>
      <c r="F29" s="60"/>
      <c r="G29" s="60"/>
      <c r="H29" s="60"/>
      <c r="I29" s="60"/>
      <c r="J29" s="60"/>
      <c r="K29" s="60"/>
      <c r="L29" s="60"/>
      <c r="M29" s="60"/>
      <c r="N29" s="60"/>
      <c r="O29" s="60"/>
      <c r="P29" s="60"/>
      <c r="Q29" s="60"/>
      <c r="R29" s="60"/>
      <c r="S29" s="60"/>
      <c r="T29" s="60"/>
      <c r="U29" s="60"/>
      <c r="V29" s="60"/>
      <c r="W29" s="60"/>
      <c r="X29" s="20"/>
      <c r="Y29" s="20"/>
      <c r="Z29" s="21"/>
    </row>
    <row r="30" spans="1:28" ht="28" x14ac:dyDescent="0.15">
      <c r="A30" s="22" t="s">
        <v>65</v>
      </c>
      <c r="B30" s="23"/>
      <c r="C30" s="23"/>
      <c r="D30" s="23"/>
      <c r="E30" s="23"/>
      <c r="F30" s="23"/>
      <c r="G30" s="23"/>
      <c r="H30" s="23"/>
      <c r="I30" s="23"/>
      <c r="J30" s="23"/>
      <c r="K30" s="23"/>
      <c r="L30" s="23"/>
      <c r="M30" s="23"/>
      <c r="N30" s="23"/>
      <c r="O30" s="23"/>
      <c r="P30" s="23"/>
      <c r="Q30" s="23"/>
      <c r="R30" s="23"/>
      <c r="S30" s="23"/>
      <c r="T30" s="23"/>
      <c r="U30" s="23"/>
      <c r="V30" s="23"/>
      <c r="W30" s="23"/>
      <c r="X30" s="23"/>
      <c r="Y30" s="52"/>
      <c r="Z30" s="24" t="s">
        <v>130</v>
      </c>
    </row>
    <row r="31" spans="1:28" ht="77" customHeight="1" x14ac:dyDescent="0.15">
      <c r="A31" s="45" t="s">
        <v>64</v>
      </c>
      <c r="B31" s="25" t="s">
        <v>253</v>
      </c>
      <c r="C31" s="26"/>
      <c r="D31" s="174"/>
      <c r="E31" s="26"/>
      <c r="F31" s="33"/>
      <c r="G31" s="237" t="s">
        <v>156</v>
      </c>
      <c r="H31" s="82"/>
      <c r="I31" s="27"/>
      <c r="J31" s="237" t="s">
        <v>156</v>
      </c>
      <c r="K31" s="27"/>
      <c r="L31" s="82"/>
      <c r="M31" s="50"/>
      <c r="N31" s="50"/>
      <c r="O31" s="237" t="s">
        <v>156</v>
      </c>
      <c r="P31" s="82"/>
      <c r="Q31" s="237" t="s">
        <v>156</v>
      </c>
      <c r="R31" s="26"/>
      <c r="S31" s="26"/>
      <c r="T31" s="82"/>
      <c r="U31" s="25" t="s">
        <v>89</v>
      </c>
      <c r="V31" s="26"/>
      <c r="W31" s="173">
        <f>7363.28753256692*1.15</f>
        <v>8467.7806624519581</v>
      </c>
      <c r="X31" s="26"/>
      <c r="Y31" s="26"/>
      <c r="Z31" s="177"/>
      <c r="AA31" s="29"/>
    </row>
    <row r="32" spans="1:28" ht="84" x14ac:dyDescent="0.15">
      <c r="A32" s="25" t="s">
        <v>179</v>
      </c>
      <c r="B32" s="25" t="s">
        <v>234</v>
      </c>
      <c r="C32" s="26"/>
      <c r="D32" s="174"/>
      <c r="E32" s="26"/>
      <c r="F32" s="26"/>
      <c r="G32" s="237" t="s">
        <v>156</v>
      </c>
      <c r="H32" s="82"/>
      <c r="I32" s="27"/>
      <c r="J32" s="237" t="s">
        <v>156</v>
      </c>
      <c r="K32" s="50"/>
      <c r="L32" s="82"/>
      <c r="M32" s="27"/>
      <c r="N32" s="237" t="s">
        <v>156</v>
      </c>
      <c r="O32" s="27"/>
      <c r="P32" s="82"/>
      <c r="Q32" s="237" t="s">
        <v>156</v>
      </c>
      <c r="R32" s="32"/>
      <c r="S32" s="32"/>
      <c r="T32" s="82"/>
      <c r="U32" s="25" t="s">
        <v>180</v>
      </c>
      <c r="V32" s="26"/>
      <c r="W32" s="173">
        <f>10776.3161304781*1.15</f>
        <v>12392.763550049815</v>
      </c>
      <c r="X32" s="26"/>
      <c r="Y32" s="26"/>
      <c r="Z32" s="177"/>
      <c r="AA32" s="29"/>
    </row>
    <row r="33" spans="1:28" ht="23" customHeight="1" x14ac:dyDescent="0.15">
      <c r="A33" s="25" t="s">
        <v>157</v>
      </c>
      <c r="B33" s="26" t="s">
        <v>158</v>
      </c>
      <c r="C33" s="26"/>
      <c r="D33" s="174"/>
      <c r="E33" s="26"/>
      <c r="F33" s="26"/>
      <c r="G33" s="237" t="s">
        <v>156</v>
      </c>
      <c r="H33" s="82"/>
      <c r="I33" s="27"/>
      <c r="J33" s="27"/>
      <c r="K33" s="237" t="s">
        <v>156</v>
      </c>
      <c r="L33" s="82"/>
      <c r="M33" s="27"/>
      <c r="N33" s="27"/>
      <c r="O33" s="237" t="s">
        <v>156</v>
      </c>
      <c r="P33" s="82"/>
      <c r="Q33" s="50"/>
      <c r="R33" s="237" t="s">
        <v>156</v>
      </c>
      <c r="S33" s="27"/>
      <c r="T33" s="82"/>
      <c r="U33" s="25" t="s">
        <v>90</v>
      </c>
      <c r="V33" s="26"/>
      <c r="W33" s="173">
        <f>4573.47051712231*1.15</f>
        <v>5259.4910946906566</v>
      </c>
      <c r="X33" s="26"/>
      <c r="Y33" s="26"/>
      <c r="Z33" s="28"/>
    </row>
    <row r="34" spans="1:28" ht="28" x14ac:dyDescent="0.15">
      <c r="A34" s="22" t="s">
        <v>66</v>
      </c>
      <c r="B34" s="23"/>
      <c r="C34" s="23"/>
      <c r="D34" s="23"/>
      <c r="E34" s="23"/>
      <c r="F34" s="23"/>
      <c r="G34" s="23"/>
      <c r="H34" s="23"/>
      <c r="I34" s="23"/>
      <c r="J34" s="23"/>
      <c r="K34" s="23"/>
      <c r="L34" s="23"/>
      <c r="M34" s="23"/>
      <c r="N34" s="23"/>
      <c r="O34" s="23"/>
      <c r="P34" s="23"/>
      <c r="Q34" s="23"/>
      <c r="R34" s="23"/>
      <c r="S34" s="23"/>
      <c r="T34" s="23"/>
      <c r="U34" s="23"/>
      <c r="V34" s="23"/>
      <c r="W34" s="23"/>
      <c r="X34" s="23"/>
      <c r="Y34" s="52"/>
      <c r="Z34" s="24" t="s">
        <v>132</v>
      </c>
    </row>
    <row r="35" spans="1:28" ht="70" x14ac:dyDescent="0.15">
      <c r="A35" s="25" t="s">
        <v>404</v>
      </c>
      <c r="B35" s="40" t="s">
        <v>252</v>
      </c>
      <c r="C35" s="26"/>
      <c r="D35" s="174"/>
      <c r="E35" s="26"/>
      <c r="F35" s="26"/>
      <c r="G35" s="26"/>
      <c r="H35" s="82"/>
      <c r="I35" s="237" t="s">
        <v>156</v>
      </c>
      <c r="J35" s="237" t="s">
        <v>156</v>
      </c>
      <c r="K35" s="26"/>
      <c r="L35" s="82"/>
      <c r="M35" s="26"/>
      <c r="N35" s="26"/>
      <c r="O35" s="26"/>
      <c r="P35" s="82"/>
      <c r="Q35" s="26"/>
      <c r="R35" s="26"/>
      <c r="S35" s="26"/>
      <c r="T35" s="82"/>
      <c r="U35" s="25" t="s">
        <v>390</v>
      </c>
      <c r="V35" s="26"/>
      <c r="W35" s="173">
        <f>4010.01894941284*1.15+5505.3913594946*1.15</f>
        <v>10942.721855243555</v>
      </c>
      <c r="X35" s="26"/>
      <c r="Y35" s="26"/>
      <c r="Z35" s="28"/>
    </row>
    <row r="36" spans="1:28" ht="42" x14ac:dyDescent="0.15">
      <c r="A36" s="22" t="s">
        <v>71</v>
      </c>
      <c r="B36" s="23"/>
      <c r="C36" s="23"/>
      <c r="D36" s="23"/>
      <c r="E36" s="23"/>
      <c r="F36" s="23"/>
      <c r="G36" s="23"/>
      <c r="H36" s="23"/>
      <c r="I36" s="23"/>
      <c r="J36" s="23"/>
      <c r="K36" s="23"/>
      <c r="L36" s="23"/>
      <c r="M36" s="23"/>
      <c r="N36" s="23"/>
      <c r="O36" s="23"/>
      <c r="P36" s="23"/>
      <c r="Q36" s="23"/>
      <c r="R36" s="23"/>
      <c r="S36" s="23"/>
      <c r="T36" s="23"/>
      <c r="U36" s="23"/>
      <c r="V36" s="23"/>
      <c r="W36" s="23"/>
      <c r="X36" s="23"/>
      <c r="Y36" s="52"/>
      <c r="Z36" s="24" t="s">
        <v>143</v>
      </c>
    </row>
    <row r="37" spans="1:28" ht="82" customHeight="1" x14ac:dyDescent="0.15">
      <c r="A37" s="45" t="s">
        <v>480</v>
      </c>
      <c r="B37" s="25" t="s">
        <v>235</v>
      </c>
      <c r="C37" s="26"/>
      <c r="D37" s="174"/>
      <c r="E37" s="25"/>
      <c r="F37" s="30"/>
      <c r="G37" s="237" t="s">
        <v>156</v>
      </c>
      <c r="H37" s="82"/>
      <c r="I37" s="237" t="s">
        <v>156</v>
      </c>
      <c r="J37" s="237" t="s">
        <v>156</v>
      </c>
      <c r="K37" s="237" t="s">
        <v>156</v>
      </c>
      <c r="L37" s="82"/>
      <c r="M37" s="26"/>
      <c r="N37" s="34"/>
      <c r="O37" s="34"/>
      <c r="P37" s="82"/>
      <c r="Q37" s="237" t="s">
        <v>156</v>
      </c>
      <c r="R37" s="237" t="s">
        <v>156</v>
      </c>
      <c r="S37" s="237" t="s">
        <v>156</v>
      </c>
      <c r="T37" s="82"/>
      <c r="U37" s="25" t="s">
        <v>91</v>
      </c>
      <c r="V37" s="26"/>
      <c r="W37" s="173"/>
      <c r="X37" s="26"/>
      <c r="Y37" s="173">
        <f>12549.6030989836*1.15</f>
        <v>14432.043563831139</v>
      </c>
      <c r="Z37" s="28"/>
    </row>
    <row r="38" spans="1:28" s="55" customFormat="1" ht="28" x14ac:dyDescent="0.15">
      <c r="A38" s="22" t="s">
        <v>255</v>
      </c>
      <c r="B38" s="23"/>
      <c r="C38" s="23"/>
      <c r="D38" s="23"/>
      <c r="E38" s="23"/>
      <c r="F38" s="23"/>
      <c r="G38" s="23"/>
      <c r="H38" s="23"/>
      <c r="I38" s="23"/>
      <c r="J38" s="23"/>
      <c r="K38" s="23"/>
      <c r="L38" s="23"/>
      <c r="M38" s="23"/>
      <c r="N38" s="23"/>
      <c r="O38" s="23"/>
      <c r="P38" s="23"/>
      <c r="Q38" s="23"/>
      <c r="R38" s="23"/>
      <c r="S38" s="23"/>
      <c r="T38" s="23"/>
      <c r="U38" s="23"/>
      <c r="V38" s="23"/>
      <c r="W38" s="23"/>
      <c r="X38" s="23"/>
      <c r="Y38" s="52"/>
      <c r="Z38" s="24" t="s">
        <v>129</v>
      </c>
    </row>
    <row r="39" spans="1:28" s="57" customFormat="1" ht="28" x14ac:dyDescent="0.15">
      <c r="A39" s="25" t="s">
        <v>290</v>
      </c>
      <c r="B39" s="25" t="s">
        <v>159</v>
      </c>
      <c r="D39" s="174"/>
      <c r="E39" s="25"/>
      <c r="F39" s="25"/>
      <c r="G39" s="237" t="s">
        <v>156</v>
      </c>
      <c r="H39" s="82"/>
      <c r="I39" s="34"/>
      <c r="J39" s="34"/>
      <c r="K39" s="237" t="s">
        <v>156</v>
      </c>
      <c r="L39" s="82"/>
      <c r="M39" s="27"/>
      <c r="N39" s="27"/>
      <c r="O39" s="27"/>
      <c r="P39" s="82"/>
      <c r="Q39" s="27"/>
      <c r="R39" s="27"/>
      <c r="S39" s="237" t="s">
        <v>156</v>
      </c>
      <c r="T39" s="82"/>
      <c r="U39" s="56" t="s">
        <v>147</v>
      </c>
      <c r="V39" s="25"/>
      <c r="W39" s="173"/>
      <c r="X39" s="25"/>
      <c r="Y39" s="173">
        <f>1524.4901723741*1.15</f>
        <v>1753.1636982302148</v>
      </c>
      <c r="Z39" s="28"/>
    </row>
    <row r="40" spans="1:28" s="55" customFormat="1" ht="42" x14ac:dyDescent="0.15">
      <c r="A40" s="52" t="s">
        <v>72</v>
      </c>
      <c r="B40" s="23"/>
      <c r="C40" s="23"/>
      <c r="D40" s="23"/>
      <c r="E40" s="23"/>
      <c r="F40" s="23"/>
      <c r="G40" s="23"/>
      <c r="H40" s="23"/>
      <c r="I40" s="23"/>
      <c r="J40" s="23"/>
      <c r="K40" s="23"/>
      <c r="L40" s="23"/>
      <c r="M40" s="23"/>
      <c r="N40" s="23"/>
      <c r="O40" s="23"/>
      <c r="P40" s="23"/>
      <c r="Q40" s="23"/>
      <c r="R40" s="23"/>
      <c r="S40" s="23"/>
      <c r="T40" s="23"/>
      <c r="U40" s="23"/>
      <c r="V40" s="23"/>
      <c r="W40" s="23"/>
      <c r="X40" s="23"/>
      <c r="Y40" s="52"/>
      <c r="Z40" s="24" t="s">
        <v>131</v>
      </c>
    </row>
    <row r="41" spans="1:28" ht="33" customHeight="1" x14ac:dyDescent="0.15">
      <c r="A41" s="25" t="s">
        <v>275</v>
      </c>
      <c r="B41" s="25" t="s">
        <v>481</v>
      </c>
      <c r="D41" s="174"/>
      <c r="E41" s="26"/>
      <c r="F41" s="26"/>
      <c r="G41" s="26"/>
      <c r="H41" s="82"/>
      <c r="I41" s="237" t="s">
        <v>156</v>
      </c>
      <c r="J41" s="26"/>
      <c r="K41" s="26"/>
      <c r="L41" s="82"/>
      <c r="M41" s="26"/>
      <c r="N41" s="26"/>
      <c r="O41" s="26"/>
      <c r="P41" s="82"/>
      <c r="Q41" s="26"/>
      <c r="S41" s="26"/>
      <c r="T41" s="82"/>
      <c r="U41" s="25" t="s">
        <v>181</v>
      </c>
      <c r="V41" s="26"/>
      <c r="W41" s="173">
        <v>3104.9999999999995</v>
      </c>
      <c r="X41" s="173"/>
      <c r="Y41" s="173"/>
      <c r="Z41" s="28"/>
    </row>
    <row r="42" spans="1:28" s="55" customFormat="1" ht="57" customHeight="1" x14ac:dyDescent="0.15">
      <c r="A42" s="22" t="s">
        <v>274</v>
      </c>
      <c r="B42" s="23"/>
      <c r="C42" s="23"/>
      <c r="D42" s="23"/>
      <c r="E42" s="23"/>
      <c r="F42" s="23"/>
      <c r="G42" s="23"/>
      <c r="H42" s="23"/>
      <c r="I42" s="23"/>
      <c r="J42" s="23"/>
      <c r="K42" s="23"/>
      <c r="L42" s="23"/>
      <c r="M42" s="23"/>
      <c r="N42" s="23"/>
      <c r="O42" s="23"/>
      <c r="P42" s="23"/>
      <c r="Q42" s="23"/>
      <c r="R42" s="23"/>
      <c r="S42" s="23"/>
      <c r="T42" s="23"/>
      <c r="U42" s="23"/>
      <c r="V42" s="23"/>
      <c r="W42" s="23"/>
      <c r="X42" s="23"/>
      <c r="Y42" s="52"/>
      <c r="Z42" s="24" t="s">
        <v>144</v>
      </c>
    </row>
    <row r="43" spans="1:28" ht="84" x14ac:dyDescent="0.15">
      <c r="A43" s="139" t="s">
        <v>482</v>
      </c>
      <c r="B43" s="45" t="s">
        <v>460</v>
      </c>
      <c r="C43" s="26"/>
      <c r="D43" s="174"/>
      <c r="E43" s="26"/>
      <c r="F43" s="26"/>
      <c r="G43" s="30"/>
      <c r="H43" s="82"/>
      <c r="I43" s="237" t="s">
        <v>156</v>
      </c>
      <c r="J43" s="26"/>
      <c r="K43" s="27"/>
      <c r="L43" s="82"/>
      <c r="M43" s="26"/>
      <c r="N43" s="26"/>
      <c r="O43" s="26"/>
      <c r="P43" s="82"/>
      <c r="Q43" s="26"/>
      <c r="R43" s="26"/>
      <c r="S43" s="26"/>
      <c r="T43" s="82"/>
      <c r="U43" s="45" t="s">
        <v>405</v>
      </c>
      <c r="V43" s="33"/>
      <c r="W43" s="173">
        <v>2989</v>
      </c>
      <c r="X43" s="45"/>
      <c r="Y43" s="25"/>
      <c r="Z43" s="28"/>
    </row>
    <row r="44" spans="1:28" ht="56" x14ac:dyDescent="0.15">
      <c r="A44" s="45" t="s">
        <v>273</v>
      </c>
      <c r="B44" s="25" t="s">
        <v>398</v>
      </c>
      <c r="C44" s="26"/>
      <c r="D44" s="174"/>
      <c r="E44" s="26"/>
      <c r="F44" s="26"/>
      <c r="G44" s="30"/>
      <c r="H44" s="82"/>
      <c r="I44" s="30"/>
      <c r="J44" s="237" t="s">
        <v>156</v>
      </c>
      <c r="K44" s="237" t="s">
        <v>156</v>
      </c>
      <c r="L44" s="82"/>
      <c r="M44" s="237" t="s">
        <v>156</v>
      </c>
      <c r="N44" s="237" t="s">
        <v>156</v>
      </c>
      <c r="O44" s="237" t="s">
        <v>156</v>
      </c>
      <c r="P44" s="82"/>
      <c r="Q44" s="237" t="s">
        <v>156</v>
      </c>
      <c r="R44" s="237" t="s">
        <v>156</v>
      </c>
      <c r="S44" s="26"/>
      <c r="T44" s="82"/>
      <c r="U44" s="45" t="s">
        <v>507</v>
      </c>
      <c r="V44" s="33"/>
      <c r="W44" s="172">
        <v>34188.034188034202</v>
      </c>
      <c r="X44" s="45"/>
      <c r="Y44" s="173"/>
      <c r="Z44" s="28"/>
    </row>
    <row r="45" spans="1:28" ht="42" x14ac:dyDescent="0.15">
      <c r="A45" s="22" t="s">
        <v>182</v>
      </c>
      <c r="B45" s="23"/>
      <c r="C45" s="23"/>
      <c r="D45" s="23"/>
      <c r="E45" s="23"/>
      <c r="F45" s="23"/>
      <c r="G45" s="23"/>
      <c r="H45" s="23"/>
      <c r="I45" s="23"/>
      <c r="J45" s="23"/>
      <c r="K45" s="23"/>
      <c r="L45" s="23"/>
      <c r="M45" s="23"/>
      <c r="N45" s="23"/>
      <c r="O45" s="23"/>
      <c r="P45" s="23"/>
      <c r="Q45" s="23"/>
      <c r="R45" s="23"/>
      <c r="S45" s="23"/>
      <c r="T45" s="23"/>
      <c r="U45" s="23"/>
      <c r="V45" s="23"/>
      <c r="W45" s="23"/>
      <c r="X45" s="23"/>
      <c r="Y45" s="23"/>
      <c r="Z45" s="159"/>
    </row>
    <row r="46" spans="1:28" ht="70" x14ac:dyDescent="0.15">
      <c r="A46" s="45" t="s">
        <v>291</v>
      </c>
      <c r="B46" s="25" t="s">
        <v>409</v>
      </c>
      <c r="C46" s="26"/>
      <c r="D46" s="174"/>
      <c r="E46" s="26"/>
      <c r="F46" s="237"/>
      <c r="G46" s="237"/>
      <c r="H46" s="82"/>
      <c r="I46" s="237" t="s">
        <v>156</v>
      </c>
      <c r="J46" s="237"/>
      <c r="K46" s="237"/>
      <c r="L46" s="82"/>
      <c r="M46" s="26"/>
      <c r="N46" s="26"/>
      <c r="O46" s="26"/>
      <c r="P46" s="82"/>
      <c r="Q46" s="26"/>
      <c r="R46" s="26"/>
      <c r="S46" s="26"/>
      <c r="T46" s="82"/>
      <c r="U46" s="45" t="s">
        <v>408</v>
      </c>
      <c r="V46" s="25"/>
      <c r="W46" s="173"/>
      <c r="X46" s="45"/>
      <c r="Y46" s="173">
        <v>5128.2051282051279</v>
      </c>
      <c r="Z46" s="28"/>
    </row>
    <row r="47" spans="1:28" ht="59" customHeight="1" x14ac:dyDescent="0.15">
      <c r="A47" s="140" t="s">
        <v>489</v>
      </c>
      <c r="B47" s="56" t="s">
        <v>161</v>
      </c>
      <c r="C47" s="26"/>
      <c r="D47" s="175"/>
      <c r="E47" s="26"/>
      <c r="F47" s="26"/>
      <c r="G47" s="26"/>
      <c r="H47" s="175"/>
      <c r="I47" s="30"/>
      <c r="J47" s="42"/>
      <c r="K47" s="26"/>
      <c r="L47" s="175"/>
      <c r="M47" s="237" t="s">
        <v>156</v>
      </c>
      <c r="N47" s="26"/>
      <c r="O47" s="26"/>
      <c r="P47" s="175"/>
      <c r="Q47" s="26"/>
      <c r="R47" s="26"/>
      <c r="S47" s="26"/>
      <c r="T47" s="175"/>
      <c r="U47" s="45" t="s">
        <v>351</v>
      </c>
      <c r="V47" s="33"/>
      <c r="W47" s="299">
        <v>2855</v>
      </c>
      <c r="X47" s="153"/>
      <c r="Y47" s="26"/>
      <c r="Z47" s="26"/>
      <c r="AB47" s="65"/>
    </row>
    <row r="48" spans="1:28" ht="14" x14ac:dyDescent="0.15">
      <c r="A48" s="59" t="s">
        <v>37</v>
      </c>
      <c r="B48" s="60"/>
      <c r="C48" s="60"/>
      <c r="D48" s="60"/>
      <c r="E48" s="60"/>
      <c r="F48" s="60"/>
      <c r="G48" s="60"/>
      <c r="H48" s="60"/>
      <c r="I48" s="60"/>
      <c r="J48" s="60"/>
      <c r="K48" s="60"/>
      <c r="L48" s="60"/>
      <c r="M48" s="60"/>
      <c r="N48" s="60"/>
      <c r="O48" s="60"/>
      <c r="P48" s="60"/>
      <c r="Q48" s="60"/>
      <c r="R48" s="60"/>
      <c r="S48" s="60"/>
      <c r="T48" s="60"/>
      <c r="U48" s="60"/>
      <c r="V48" s="60"/>
      <c r="W48" s="60"/>
      <c r="X48" s="60"/>
      <c r="Y48" s="60"/>
      <c r="Z48" s="61"/>
    </row>
    <row r="49" spans="1:195" ht="28" x14ac:dyDescent="0.15">
      <c r="A49" s="36" t="s">
        <v>38</v>
      </c>
      <c r="B49" s="23"/>
      <c r="C49" s="23"/>
      <c r="D49" s="23"/>
      <c r="E49" s="23"/>
      <c r="F49" s="23"/>
      <c r="G49" s="23"/>
      <c r="H49" s="23"/>
      <c r="I49" s="23"/>
      <c r="J49" s="23"/>
      <c r="K49" s="23"/>
      <c r="L49" s="23"/>
      <c r="M49" s="23"/>
      <c r="N49" s="23"/>
      <c r="O49" s="23"/>
      <c r="P49" s="23"/>
      <c r="Q49" s="23"/>
      <c r="R49" s="23"/>
      <c r="S49" s="23"/>
      <c r="T49" s="23"/>
      <c r="U49" s="23"/>
      <c r="V49" s="23"/>
      <c r="W49" s="23"/>
      <c r="X49" s="23"/>
      <c r="Y49" s="52"/>
      <c r="Z49" s="161" t="s">
        <v>137</v>
      </c>
    </row>
    <row r="50" spans="1:195" ht="39" customHeight="1" x14ac:dyDescent="0.15">
      <c r="A50" s="45" t="s">
        <v>410</v>
      </c>
      <c r="B50" s="45" t="s">
        <v>256</v>
      </c>
      <c r="C50" s="47"/>
      <c r="D50" s="175"/>
      <c r="E50" s="45"/>
      <c r="F50" s="45"/>
      <c r="G50" s="45"/>
      <c r="H50" s="175"/>
      <c r="I50" s="237" t="s">
        <v>156</v>
      </c>
      <c r="J50" s="45"/>
      <c r="K50" s="48"/>
      <c r="L50" s="175"/>
      <c r="M50" s="48"/>
      <c r="N50" s="45"/>
      <c r="O50" s="45"/>
      <c r="P50" s="175"/>
      <c r="Q50" s="45"/>
      <c r="R50" s="45"/>
      <c r="S50" s="45"/>
      <c r="T50" s="175"/>
      <c r="U50" s="45" t="s">
        <v>245</v>
      </c>
      <c r="V50" s="45"/>
      <c r="W50" s="173">
        <v>450000</v>
      </c>
      <c r="X50" s="235"/>
      <c r="Y50" s="47"/>
      <c r="Z50" s="54"/>
    </row>
    <row r="51" spans="1:195" ht="28" x14ac:dyDescent="0.15">
      <c r="A51" s="45" t="s">
        <v>259</v>
      </c>
      <c r="B51" s="25" t="s">
        <v>354</v>
      </c>
      <c r="C51" s="26"/>
      <c r="D51" s="175"/>
      <c r="E51" s="26"/>
      <c r="F51" s="26"/>
      <c r="G51" s="26"/>
      <c r="H51" s="175"/>
      <c r="I51" s="237" t="s">
        <v>156</v>
      </c>
      <c r="J51" s="62"/>
      <c r="K51" s="27"/>
      <c r="L51" s="175"/>
      <c r="N51" s="26"/>
      <c r="O51" s="26"/>
      <c r="P51" s="175"/>
      <c r="Q51" s="26"/>
      <c r="R51" s="26"/>
      <c r="S51" s="26"/>
      <c r="T51" s="175"/>
      <c r="U51" s="25" t="s">
        <v>93</v>
      </c>
      <c r="V51" s="26"/>
      <c r="W51" s="173">
        <f>2*31878.6*1.15</f>
        <v>73320.779999999984</v>
      </c>
      <c r="X51" s="154"/>
      <c r="Y51" s="26"/>
      <c r="Z51" s="28"/>
    </row>
    <row r="52" spans="1:195" ht="28" x14ac:dyDescent="0.15">
      <c r="A52" s="36" t="s">
        <v>193</v>
      </c>
      <c r="B52" s="23"/>
      <c r="C52" s="23"/>
      <c r="D52" s="23"/>
      <c r="E52" s="23"/>
      <c r="F52" s="23"/>
      <c r="G52" s="23"/>
      <c r="H52" s="23"/>
      <c r="I52" s="23"/>
      <c r="J52" s="23"/>
      <c r="K52" s="23"/>
      <c r="L52" s="23"/>
      <c r="M52" s="23"/>
      <c r="N52" s="23"/>
      <c r="O52" s="23"/>
      <c r="P52" s="23"/>
      <c r="Q52" s="23"/>
      <c r="R52" s="23"/>
      <c r="S52" s="23"/>
      <c r="T52" s="23"/>
      <c r="U52" s="23"/>
      <c r="V52" s="23"/>
      <c r="W52" s="23"/>
      <c r="X52" s="23"/>
      <c r="Y52" s="52"/>
      <c r="Z52" s="24" t="s">
        <v>134</v>
      </c>
    </row>
    <row r="53" spans="1:195" ht="42" x14ac:dyDescent="0.15">
      <c r="A53" s="45" t="s">
        <v>151</v>
      </c>
      <c r="B53" s="45" t="s">
        <v>355</v>
      </c>
      <c r="C53" s="47"/>
      <c r="D53" s="175"/>
      <c r="E53" s="26"/>
      <c r="F53" s="26"/>
      <c r="G53" s="237" t="s">
        <v>156</v>
      </c>
      <c r="H53" s="175"/>
      <c r="I53" s="33"/>
      <c r="J53" s="33"/>
      <c r="K53" s="237" t="s">
        <v>156</v>
      </c>
      <c r="L53" s="175"/>
      <c r="M53" s="27"/>
      <c r="N53" s="27"/>
      <c r="O53" s="237" t="s">
        <v>156</v>
      </c>
      <c r="P53" s="175"/>
      <c r="Q53" s="26"/>
      <c r="R53" s="63"/>
      <c r="S53" s="237" t="s">
        <v>156</v>
      </c>
      <c r="T53" s="175"/>
      <c r="U53" s="25" t="s">
        <v>356</v>
      </c>
      <c r="V53" s="26"/>
      <c r="W53" s="173">
        <f>1524.4901723741*1.15</f>
        <v>1753.1636982302148</v>
      </c>
      <c r="X53" s="26"/>
      <c r="Y53" s="26"/>
      <c r="Z53" s="35"/>
    </row>
    <row r="54" spans="1:195" ht="42" x14ac:dyDescent="0.15">
      <c r="A54" s="31" t="s">
        <v>183</v>
      </c>
      <c r="B54" s="23"/>
      <c r="C54" s="23"/>
      <c r="D54" s="23"/>
      <c r="E54" s="23"/>
      <c r="F54" s="23"/>
      <c r="G54" s="23"/>
      <c r="H54" s="23"/>
      <c r="I54" s="23"/>
      <c r="J54" s="23"/>
      <c r="K54" s="23"/>
      <c r="L54" s="23"/>
      <c r="M54" s="23"/>
      <c r="N54" s="23"/>
      <c r="O54" s="23"/>
      <c r="P54" s="23"/>
      <c r="Q54" s="23"/>
      <c r="R54" s="23"/>
      <c r="S54" s="23"/>
      <c r="T54" s="23"/>
      <c r="U54" s="23"/>
      <c r="V54" s="23"/>
      <c r="W54" s="23"/>
      <c r="X54" s="23"/>
      <c r="Y54" s="52"/>
      <c r="Z54" s="64" t="s">
        <v>145</v>
      </c>
    </row>
    <row r="55" spans="1:195" s="49" customFormat="1" ht="47" customHeight="1" x14ac:dyDescent="0.15">
      <c r="A55" s="45" t="s">
        <v>452</v>
      </c>
      <c r="B55" s="25" t="s">
        <v>411</v>
      </c>
      <c r="C55" s="47"/>
      <c r="D55" s="175"/>
      <c r="E55" s="26"/>
      <c r="F55" s="45"/>
      <c r="G55" s="45"/>
      <c r="H55" s="175"/>
      <c r="I55" s="33"/>
      <c r="J55" s="45"/>
      <c r="K55" s="181" t="s">
        <v>156</v>
      </c>
      <c r="L55" s="175"/>
      <c r="M55" s="45"/>
      <c r="N55" s="45"/>
      <c r="O55" s="45"/>
      <c r="P55" s="175"/>
      <c r="Q55" s="45"/>
      <c r="R55" s="45"/>
      <c r="S55" s="45"/>
      <c r="T55" s="175"/>
      <c r="U55" s="25" t="s">
        <v>148</v>
      </c>
      <c r="V55" s="47"/>
      <c r="W55" s="173"/>
      <c r="X55" s="47"/>
      <c r="Y55" s="173">
        <f>1143.4*1.15</f>
        <v>1314.91</v>
      </c>
      <c r="Z55" s="47"/>
    </row>
    <row r="56" spans="1:195" s="43" customFormat="1" ht="42" x14ac:dyDescent="0.15">
      <c r="A56" s="45" t="s">
        <v>39</v>
      </c>
      <c r="B56" s="139" t="s">
        <v>412</v>
      </c>
      <c r="C56" s="41"/>
      <c r="D56" s="175"/>
      <c r="E56" s="40"/>
      <c r="F56" s="40"/>
      <c r="G56" s="40"/>
      <c r="H56" s="175"/>
      <c r="I56" s="33"/>
      <c r="J56" s="40"/>
      <c r="K56" s="40"/>
      <c r="L56" s="175"/>
      <c r="M56" s="45"/>
      <c r="N56" s="40"/>
      <c r="O56" s="181" t="s">
        <v>156</v>
      </c>
      <c r="P56" s="175"/>
      <c r="Q56" s="181" t="s">
        <v>156</v>
      </c>
      <c r="R56" s="181" t="s">
        <v>156</v>
      </c>
      <c r="S56" s="44"/>
      <c r="T56" s="175"/>
      <c r="U56" s="40" t="s">
        <v>95</v>
      </c>
      <c r="V56" s="41"/>
      <c r="W56" s="173"/>
      <c r="X56" s="147"/>
      <c r="Y56" s="173"/>
      <c r="Z56" s="41"/>
    </row>
    <row r="57" spans="1:195" s="126" customFormat="1" ht="22" customHeight="1" x14ac:dyDescent="0.15">
      <c r="A57" s="45" t="s">
        <v>202</v>
      </c>
      <c r="B57" s="45" t="s">
        <v>40</v>
      </c>
      <c r="D57" s="175"/>
      <c r="E57" s="40"/>
      <c r="F57" s="125"/>
      <c r="G57" s="125"/>
      <c r="H57" s="175"/>
      <c r="I57" s="33"/>
      <c r="J57" s="125"/>
      <c r="K57" s="125"/>
      <c r="L57" s="175"/>
      <c r="M57" s="45"/>
      <c r="N57" s="125"/>
      <c r="O57" s="125"/>
      <c r="P57" s="175"/>
      <c r="Q57" s="181" t="s">
        <v>156</v>
      </c>
      <c r="R57" s="181" t="s">
        <v>156</v>
      </c>
      <c r="S57" s="181" t="s">
        <v>156</v>
      </c>
      <c r="T57" s="175"/>
      <c r="U57" s="40" t="s">
        <v>203</v>
      </c>
      <c r="V57" s="125"/>
      <c r="W57" s="173"/>
      <c r="X57" s="173"/>
      <c r="Y57" s="173">
        <v>81581.196581196578</v>
      </c>
      <c r="Z57" s="125"/>
    </row>
    <row r="58" spans="1:195" s="126" customFormat="1" ht="61" customHeight="1" x14ac:dyDescent="0.15">
      <c r="A58" s="45" t="s">
        <v>75</v>
      </c>
      <c r="B58" s="45" t="s">
        <v>413</v>
      </c>
      <c r="C58" s="125"/>
      <c r="D58" s="175"/>
      <c r="E58" s="181" t="s">
        <v>156</v>
      </c>
      <c r="F58" s="181" t="s">
        <v>156</v>
      </c>
      <c r="G58" s="181" t="s">
        <v>156</v>
      </c>
      <c r="H58" s="175"/>
      <c r="I58" s="181" t="s">
        <v>156</v>
      </c>
      <c r="J58" s="181" t="s">
        <v>156</v>
      </c>
      <c r="K58" s="181" t="s">
        <v>156</v>
      </c>
      <c r="L58" s="175"/>
      <c r="M58" s="181" t="s">
        <v>156</v>
      </c>
      <c r="N58" s="181" t="s">
        <v>156</v>
      </c>
      <c r="O58" s="181" t="s">
        <v>156</v>
      </c>
      <c r="P58" s="175"/>
      <c r="Q58" s="181" t="s">
        <v>156</v>
      </c>
      <c r="R58" s="181" t="s">
        <v>156</v>
      </c>
      <c r="S58" s="181" t="s">
        <v>156</v>
      </c>
      <c r="T58" s="175"/>
      <c r="U58" s="40" t="s">
        <v>94</v>
      </c>
      <c r="V58" s="125"/>
      <c r="W58" s="173">
        <v>247741.452991453</v>
      </c>
      <c r="X58" s="173"/>
      <c r="Y58" s="125"/>
      <c r="Z58" s="125"/>
    </row>
    <row r="59" spans="1:195" ht="83" customHeight="1" x14ac:dyDescent="0.15">
      <c r="A59" s="45" t="s">
        <v>41</v>
      </c>
      <c r="B59" s="45" t="s">
        <v>490</v>
      </c>
      <c r="D59" s="175"/>
      <c r="E59" s="26"/>
      <c r="F59" s="26"/>
      <c r="G59" s="26"/>
      <c r="H59" s="175"/>
      <c r="I59" s="26"/>
      <c r="J59" s="26"/>
      <c r="K59" s="26"/>
      <c r="L59" s="175"/>
      <c r="M59" s="181" t="s">
        <v>156</v>
      </c>
      <c r="N59" s="26"/>
      <c r="O59" s="26"/>
      <c r="P59" s="175"/>
      <c r="Q59" s="26"/>
      <c r="R59" s="25"/>
      <c r="S59" s="26"/>
      <c r="T59" s="175"/>
      <c r="U59" s="25" t="s">
        <v>414</v>
      </c>
      <c r="V59" s="26"/>
      <c r="W59" s="173">
        <v>5213.6752136752139</v>
      </c>
      <c r="X59" s="26"/>
      <c r="Y59" s="173"/>
      <c r="Z59" s="26"/>
    </row>
    <row r="60" spans="1:195" ht="28" x14ac:dyDescent="0.15">
      <c r="A60" s="36" t="s">
        <v>194</v>
      </c>
      <c r="B60" s="179"/>
      <c r="C60" s="180"/>
      <c r="D60" s="180"/>
      <c r="E60" s="180"/>
      <c r="F60" s="180"/>
      <c r="G60" s="180"/>
      <c r="H60" s="180"/>
      <c r="I60" s="180"/>
      <c r="J60" s="180"/>
      <c r="K60" s="180"/>
      <c r="L60" s="23"/>
      <c r="M60" s="23"/>
      <c r="N60" s="23"/>
      <c r="O60" s="23"/>
      <c r="P60" s="23"/>
      <c r="Q60" s="23"/>
      <c r="R60" s="23"/>
      <c r="S60" s="23"/>
      <c r="T60" s="23"/>
      <c r="U60" s="23"/>
      <c r="V60" s="23"/>
      <c r="W60" s="23"/>
      <c r="X60" s="23"/>
      <c r="Y60" s="52"/>
      <c r="Z60" s="24" t="s">
        <v>130</v>
      </c>
    </row>
    <row r="61" spans="1:195" ht="33" customHeight="1" x14ac:dyDescent="0.15">
      <c r="A61" s="45" t="s">
        <v>184</v>
      </c>
      <c r="B61" s="45" t="s">
        <v>394</v>
      </c>
      <c r="C61" s="47"/>
      <c r="D61" s="175"/>
      <c r="E61" s="47"/>
      <c r="F61" s="47"/>
      <c r="G61" s="47"/>
      <c r="H61" s="175"/>
      <c r="I61" s="181" t="s">
        <v>156</v>
      </c>
      <c r="J61" s="47"/>
      <c r="K61" s="47"/>
      <c r="L61" s="175"/>
      <c r="M61" s="47"/>
      <c r="N61" s="47"/>
      <c r="O61" s="47"/>
      <c r="P61" s="175"/>
      <c r="Q61" s="47"/>
      <c r="R61" s="47"/>
      <c r="S61" s="47"/>
      <c r="T61" s="175"/>
      <c r="U61" s="45" t="s">
        <v>191</v>
      </c>
      <c r="V61" s="26"/>
      <c r="W61" s="26"/>
      <c r="X61" s="26"/>
      <c r="Y61" s="172">
        <v>96231.181196581194</v>
      </c>
      <c r="Z61" s="26"/>
      <c r="AA61" s="66"/>
    </row>
    <row r="62" spans="1:195" ht="28" x14ac:dyDescent="0.15">
      <c r="A62" s="45" t="s">
        <v>152</v>
      </c>
      <c r="B62" s="45" t="s">
        <v>355</v>
      </c>
      <c r="C62" s="47"/>
      <c r="D62" s="175"/>
      <c r="E62" s="47"/>
      <c r="F62" s="47"/>
      <c r="G62" s="181" t="s">
        <v>156</v>
      </c>
      <c r="H62" s="175"/>
      <c r="I62" s="67"/>
      <c r="J62" s="47"/>
      <c r="K62" s="47"/>
      <c r="L62" s="175"/>
      <c r="M62" s="47"/>
      <c r="N62" s="47"/>
      <c r="O62" s="48"/>
      <c r="P62" s="175"/>
      <c r="Q62" s="47"/>
      <c r="R62" s="47"/>
      <c r="S62" s="47"/>
      <c r="T62" s="175"/>
      <c r="U62" s="45" t="s">
        <v>318</v>
      </c>
      <c r="V62" s="26"/>
      <c r="W62" s="173">
        <v>2805.06</v>
      </c>
      <c r="X62" s="26"/>
      <c r="Y62" s="26"/>
      <c r="Z62" s="26"/>
      <c r="AA62" s="68"/>
    </row>
    <row r="63" spans="1:195" ht="32" customHeight="1" x14ac:dyDescent="0.15">
      <c r="A63" s="36" t="s">
        <v>415</v>
      </c>
      <c r="B63" s="23"/>
      <c r="C63" s="23"/>
      <c r="D63" s="23"/>
      <c r="E63" s="23"/>
      <c r="F63" s="23"/>
      <c r="G63" s="23"/>
      <c r="H63" s="23"/>
      <c r="I63" s="23"/>
      <c r="J63" s="23"/>
      <c r="K63" s="23"/>
      <c r="L63" s="23"/>
      <c r="M63" s="23"/>
      <c r="N63" s="23"/>
      <c r="O63" s="23"/>
      <c r="P63" s="23"/>
      <c r="Q63" s="23"/>
      <c r="R63" s="23"/>
      <c r="S63" s="23"/>
      <c r="T63" s="23"/>
      <c r="U63" s="23"/>
      <c r="V63" s="23"/>
      <c r="W63" s="23"/>
      <c r="X63" s="23"/>
      <c r="Y63" s="52"/>
      <c r="Z63" s="24" t="s">
        <v>129</v>
      </c>
    </row>
    <row r="64" spans="1:195" ht="42" x14ac:dyDescent="0.2">
      <c r="A64" s="45" t="s">
        <v>352</v>
      </c>
      <c r="B64" s="45" t="s">
        <v>205</v>
      </c>
      <c r="D64" s="175"/>
      <c r="E64" s="181" t="s">
        <v>156</v>
      </c>
      <c r="F64" s="181" t="s">
        <v>156</v>
      </c>
      <c r="G64" s="181" t="s">
        <v>156</v>
      </c>
      <c r="H64" s="175"/>
      <c r="I64" s="181" t="s">
        <v>156</v>
      </c>
      <c r="J64" s="181" t="s">
        <v>156</v>
      </c>
      <c r="K64" s="181" t="s">
        <v>156</v>
      </c>
      <c r="L64" s="175"/>
      <c r="M64" s="181" t="s">
        <v>156</v>
      </c>
      <c r="N64" s="181" t="s">
        <v>156</v>
      </c>
      <c r="O64" s="181" t="s">
        <v>156</v>
      </c>
      <c r="P64" s="175"/>
      <c r="Q64" s="181" t="s">
        <v>156</v>
      </c>
      <c r="R64" s="181" t="s">
        <v>156</v>
      </c>
      <c r="S64" s="181" t="s">
        <v>156</v>
      </c>
      <c r="T64" s="175"/>
      <c r="U64" s="25" t="s">
        <v>206</v>
      </c>
      <c r="V64" s="26"/>
      <c r="W64" s="173">
        <v>24140.953716690048</v>
      </c>
      <c r="X64" s="26"/>
      <c r="Y64" s="172">
        <v>51282</v>
      </c>
      <c r="Z64" s="54"/>
      <c r="AA64"/>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row>
    <row r="65" spans="1:221" ht="28" x14ac:dyDescent="0.2">
      <c r="A65" s="45" t="s">
        <v>453</v>
      </c>
      <c r="B65" s="45" t="s">
        <v>355</v>
      </c>
      <c r="C65" s="26"/>
      <c r="D65" s="175"/>
      <c r="E65" s="181"/>
      <c r="F65" s="181"/>
      <c r="G65" s="181"/>
      <c r="H65" s="175"/>
      <c r="I65" s="181"/>
      <c r="J65" s="181"/>
      <c r="K65" s="181"/>
      <c r="L65" s="175"/>
      <c r="M65" s="181" t="s">
        <v>156</v>
      </c>
      <c r="N65" s="181" t="s">
        <v>156</v>
      </c>
      <c r="O65" s="181" t="s">
        <v>156</v>
      </c>
      <c r="P65" s="175"/>
      <c r="Q65" s="181"/>
      <c r="R65" s="181"/>
      <c r="S65" s="181"/>
      <c r="T65" s="175"/>
      <c r="U65" s="25" t="s">
        <v>454</v>
      </c>
      <c r="V65" s="26"/>
      <c r="W65" s="173"/>
      <c r="X65" s="26"/>
      <c r="Y65" s="172">
        <v>10256.410256410256</v>
      </c>
      <c r="Z65" s="54"/>
      <c r="AA65"/>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row>
    <row r="66" spans="1:221" ht="28" x14ac:dyDescent="0.15">
      <c r="A66" s="36" t="s">
        <v>96</v>
      </c>
      <c r="B66" s="23"/>
      <c r="C66" s="23"/>
      <c r="D66" s="23"/>
      <c r="E66" s="23"/>
      <c r="F66" s="23"/>
      <c r="G66" s="23"/>
      <c r="H66" s="23"/>
      <c r="I66" s="23"/>
      <c r="J66" s="23"/>
      <c r="K66" s="23"/>
      <c r="L66" s="23"/>
      <c r="M66" s="23"/>
      <c r="N66" s="23"/>
      <c r="O66" s="23"/>
      <c r="P66" s="23"/>
      <c r="Q66" s="23"/>
      <c r="R66" s="23"/>
      <c r="S66" s="23"/>
      <c r="T66" s="23"/>
      <c r="U66" s="23"/>
      <c r="V66" s="23"/>
      <c r="W66" s="23"/>
      <c r="X66" s="23"/>
      <c r="Y66" s="52"/>
      <c r="Z66" s="24" t="s">
        <v>135</v>
      </c>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row>
    <row r="67" spans="1:221" s="70" customFormat="1" ht="70" customHeight="1" x14ac:dyDescent="0.15">
      <c r="A67" s="45" t="s">
        <v>393</v>
      </c>
      <c r="B67" s="45" t="s">
        <v>335</v>
      </c>
      <c r="C67" s="45"/>
      <c r="D67" s="175"/>
      <c r="E67" s="45"/>
      <c r="F67" s="45"/>
      <c r="G67" s="45"/>
      <c r="H67" s="175"/>
      <c r="I67" s="45"/>
      <c r="J67" s="181" t="s">
        <v>156</v>
      </c>
      <c r="K67" s="51"/>
      <c r="L67" s="175"/>
      <c r="M67" s="45"/>
      <c r="N67" s="45"/>
      <c r="O67" s="45"/>
      <c r="P67" s="175"/>
      <c r="Q67" s="48"/>
      <c r="R67" s="45"/>
      <c r="S67" s="45"/>
      <c r="T67" s="175"/>
      <c r="U67" s="45" t="s">
        <v>336</v>
      </c>
      <c r="V67" s="26"/>
      <c r="W67" s="173">
        <v>7264.9572649572647</v>
      </c>
      <c r="X67" s="45"/>
      <c r="Y67" s="45"/>
      <c r="Z67" s="45"/>
      <c r="AA67" s="6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7"/>
      <c r="BJ67" s="7"/>
      <c r="BK67" s="7"/>
      <c r="BL67" s="7"/>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row>
    <row r="68" spans="1:221" ht="28" x14ac:dyDescent="0.15">
      <c r="A68" s="36" t="s">
        <v>67</v>
      </c>
      <c r="B68" s="23"/>
      <c r="C68" s="23"/>
      <c r="D68" s="23"/>
      <c r="E68" s="23"/>
      <c r="F68" s="23"/>
      <c r="G68" s="23"/>
      <c r="H68" s="23"/>
      <c r="I68" s="23"/>
      <c r="J68" s="23"/>
      <c r="K68" s="23"/>
      <c r="L68" s="23"/>
      <c r="M68" s="23"/>
      <c r="N68" s="23"/>
      <c r="O68" s="23"/>
      <c r="P68" s="23"/>
      <c r="Q68" s="23"/>
      <c r="R68" s="23"/>
      <c r="S68" s="23"/>
      <c r="T68" s="23"/>
      <c r="U68" s="23"/>
      <c r="V68" s="23"/>
      <c r="W68" s="23"/>
      <c r="X68" s="23"/>
      <c r="Y68" s="23"/>
      <c r="Z68" s="24" t="s">
        <v>135</v>
      </c>
    </row>
    <row r="69" spans="1:221" ht="70" customHeight="1" x14ac:dyDescent="0.15">
      <c r="A69" s="25" t="s">
        <v>334</v>
      </c>
      <c r="B69" s="45" t="s">
        <v>335</v>
      </c>
      <c r="C69" s="26"/>
      <c r="D69" s="175"/>
      <c r="E69" s="26"/>
      <c r="F69" s="26"/>
      <c r="G69" s="26"/>
      <c r="H69" s="175"/>
      <c r="I69" s="181" t="s">
        <v>156</v>
      </c>
      <c r="J69" s="32"/>
      <c r="K69" s="32"/>
      <c r="L69" s="175"/>
      <c r="M69" s="32"/>
      <c r="N69" s="32"/>
      <c r="O69" s="32"/>
      <c r="P69" s="175"/>
      <c r="Q69" s="26"/>
      <c r="R69" s="26"/>
      <c r="S69" s="26"/>
      <c r="T69" s="175"/>
      <c r="U69" s="25" t="s">
        <v>97</v>
      </c>
      <c r="V69" s="26"/>
      <c r="W69" s="173">
        <v>8415.1857515050542</v>
      </c>
      <c r="X69" s="26"/>
      <c r="Y69" s="26"/>
      <c r="Z69" s="26"/>
    </row>
    <row r="70" spans="1:221" ht="14" x14ac:dyDescent="0.15">
      <c r="A70" s="59" t="s">
        <v>42</v>
      </c>
      <c r="B70" s="20"/>
      <c r="C70" s="20"/>
      <c r="D70" s="20"/>
      <c r="E70" s="20"/>
      <c r="F70" s="20"/>
      <c r="G70" s="20"/>
      <c r="H70" s="20"/>
      <c r="I70" s="20"/>
      <c r="J70" s="20"/>
      <c r="K70" s="20"/>
      <c r="L70" s="20"/>
      <c r="M70" s="20"/>
      <c r="N70" s="20"/>
      <c r="O70" s="20"/>
      <c r="P70" s="20"/>
      <c r="Q70" s="20"/>
      <c r="R70" s="20"/>
      <c r="S70" s="20"/>
      <c r="T70" s="20"/>
      <c r="U70" s="20"/>
      <c r="V70" s="20"/>
      <c r="W70" s="20"/>
      <c r="X70" s="20"/>
      <c r="Y70" s="20"/>
      <c r="Z70" s="21"/>
    </row>
    <row r="71" spans="1:221" ht="28" x14ac:dyDescent="0.15">
      <c r="A71" s="36" t="s">
        <v>43</v>
      </c>
      <c r="B71" s="23"/>
      <c r="C71" s="23"/>
      <c r="D71" s="23"/>
      <c r="E71" s="23"/>
      <c r="F71" s="23"/>
      <c r="G71" s="23"/>
      <c r="H71" s="23"/>
      <c r="I71" s="23"/>
      <c r="J71" s="23"/>
      <c r="K71" s="23"/>
      <c r="L71" s="23"/>
      <c r="M71" s="23"/>
      <c r="N71" s="23"/>
      <c r="O71" s="23"/>
      <c r="P71" s="23"/>
      <c r="Q71" s="23"/>
      <c r="R71" s="23"/>
      <c r="S71" s="23"/>
      <c r="T71" s="23"/>
      <c r="U71" s="23"/>
      <c r="V71" s="23"/>
      <c r="W71" s="23"/>
      <c r="X71" s="23"/>
      <c r="Y71" s="52"/>
      <c r="Z71" s="24" t="s">
        <v>136</v>
      </c>
    </row>
    <row r="72" spans="1:221" ht="37" customHeight="1" x14ac:dyDescent="0.15">
      <c r="A72" s="45" t="s">
        <v>319</v>
      </c>
      <c r="B72" s="138" t="s">
        <v>185</v>
      </c>
      <c r="C72" s="25"/>
      <c r="D72" s="175"/>
      <c r="E72" s="26"/>
      <c r="F72" s="181" t="s">
        <v>156</v>
      </c>
      <c r="G72" s="181" t="s">
        <v>156</v>
      </c>
      <c r="H72" s="101"/>
      <c r="I72" s="181" t="s">
        <v>156</v>
      </c>
      <c r="J72" s="26"/>
      <c r="K72" s="26"/>
      <c r="L72" s="109"/>
      <c r="M72" s="26"/>
      <c r="N72" s="26"/>
      <c r="O72" s="27"/>
      <c r="P72" s="109"/>
      <c r="Q72" s="27"/>
      <c r="R72" s="34"/>
      <c r="S72" s="25"/>
      <c r="T72" s="175"/>
      <c r="U72" s="25" t="s">
        <v>341</v>
      </c>
      <c r="V72" s="26"/>
      <c r="W72" s="173">
        <v>17927.287179487179</v>
      </c>
      <c r="X72" s="26"/>
      <c r="Y72" s="26"/>
      <c r="Z72" s="26"/>
    </row>
    <row r="73" spans="1:221" ht="28" x14ac:dyDescent="0.15">
      <c r="A73" s="36" t="s">
        <v>293</v>
      </c>
      <c r="B73" s="23"/>
      <c r="C73" s="23"/>
      <c r="D73" s="23"/>
      <c r="E73" s="23"/>
      <c r="F73" s="23"/>
      <c r="G73" s="23"/>
      <c r="H73" s="23"/>
      <c r="I73" s="23"/>
      <c r="J73" s="23"/>
      <c r="K73" s="23"/>
      <c r="L73" s="23"/>
      <c r="M73" s="23"/>
      <c r="N73" s="23"/>
      <c r="O73" s="23"/>
      <c r="P73" s="23"/>
      <c r="Q73" s="23"/>
      <c r="R73" s="23"/>
      <c r="S73" s="23"/>
      <c r="T73" s="23"/>
      <c r="U73" s="23"/>
      <c r="V73" s="23"/>
      <c r="W73" s="23"/>
      <c r="X73" s="23"/>
      <c r="Y73" s="52"/>
      <c r="Z73" s="24" t="s">
        <v>136</v>
      </c>
    </row>
    <row r="74" spans="1:221" ht="50" customHeight="1" x14ac:dyDescent="0.15">
      <c r="A74" s="45" t="s">
        <v>298</v>
      </c>
      <c r="B74" s="56" t="s">
        <v>499</v>
      </c>
      <c r="C74" s="225"/>
      <c r="D74" s="307"/>
      <c r="E74" s="225"/>
      <c r="F74" s="181" t="s">
        <v>156</v>
      </c>
      <c r="G74" s="225"/>
      <c r="H74" s="101"/>
      <c r="I74" s="225"/>
      <c r="J74" s="225"/>
      <c r="K74" s="225"/>
      <c r="L74" s="109"/>
      <c r="M74" s="225"/>
      <c r="N74" s="225"/>
      <c r="O74" s="225"/>
      <c r="P74" s="109"/>
      <c r="Q74" s="225"/>
      <c r="R74" s="225"/>
      <c r="S74" s="225"/>
      <c r="T74" s="307"/>
      <c r="U74" s="45" t="s">
        <v>302</v>
      </c>
      <c r="V74" s="25" t="s">
        <v>350</v>
      </c>
      <c r="W74" s="173">
        <v>8836.3418803418808</v>
      </c>
      <c r="X74" s="225"/>
      <c r="Y74" s="225"/>
      <c r="Z74" s="225"/>
      <c r="AB74" s="68"/>
    </row>
    <row r="75" spans="1:221" ht="49" customHeight="1" x14ac:dyDescent="0.15">
      <c r="A75" s="45" t="s">
        <v>299</v>
      </c>
      <c r="B75" s="25" t="s">
        <v>497</v>
      </c>
      <c r="C75" s="225"/>
      <c r="D75" s="308"/>
      <c r="E75" s="225"/>
      <c r="F75" s="225"/>
      <c r="G75" s="181" t="s">
        <v>156</v>
      </c>
      <c r="H75" s="101"/>
      <c r="I75" s="225"/>
      <c r="J75" s="225"/>
      <c r="K75" s="225"/>
      <c r="L75" s="109"/>
      <c r="M75" s="225"/>
      <c r="N75" s="225"/>
      <c r="O75" s="225"/>
      <c r="P75" s="109"/>
      <c r="Q75" s="225"/>
      <c r="R75" s="225"/>
      <c r="S75" s="225"/>
      <c r="T75" s="308"/>
      <c r="U75" s="45" t="s">
        <v>303</v>
      </c>
      <c r="V75" s="25" t="s">
        <v>160</v>
      </c>
      <c r="W75" s="173">
        <v>8836.3418803418808</v>
      </c>
      <c r="X75" s="225"/>
      <c r="Y75" s="225"/>
      <c r="Z75" s="225"/>
      <c r="AB75" s="68"/>
    </row>
    <row r="76" spans="1:221" ht="50" customHeight="1" x14ac:dyDescent="0.15">
      <c r="A76" s="45" t="s">
        <v>300</v>
      </c>
      <c r="B76" s="25" t="s">
        <v>498</v>
      </c>
      <c r="C76" s="225"/>
      <c r="D76" s="308"/>
      <c r="E76" s="225"/>
      <c r="F76" s="225"/>
      <c r="G76" s="225"/>
      <c r="H76" s="101"/>
      <c r="I76" s="181" t="s">
        <v>156</v>
      </c>
      <c r="J76" s="225"/>
      <c r="K76" s="225"/>
      <c r="L76" s="109"/>
      <c r="M76" s="225"/>
      <c r="N76" s="225"/>
      <c r="O76" s="225"/>
      <c r="P76" s="109"/>
      <c r="Q76" s="225"/>
      <c r="R76" s="225"/>
      <c r="S76" s="225"/>
      <c r="T76" s="308"/>
      <c r="U76" s="45" t="s">
        <v>304</v>
      </c>
      <c r="V76" s="25" t="s">
        <v>160</v>
      </c>
      <c r="W76" s="173">
        <v>12557.564102564103</v>
      </c>
      <c r="X76" s="225"/>
      <c r="Y76" s="225"/>
      <c r="Z76" s="225"/>
      <c r="AB76" s="68"/>
    </row>
    <row r="77" spans="1:221" ht="28" x14ac:dyDescent="0.15">
      <c r="A77" s="45" t="s">
        <v>301</v>
      </c>
      <c r="B77" s="25" t="s">
        <v>320</v>
      </c>
      <c r="C77" s="225"/>
      <c r="D77" s="308"/>
      <c r="E77" s="225"/>
      <c r="F77" s="225"/>
      <c r="G77" s="225"/>
      <c r="H77" s="101"/>
      <c r="I77" s="225"/>
      <c r="J77" s="225"/>
      <c r="K77" s="181" t="s">
        <v>156</v>
      </c>
      <c r="L77" s="109"/>
      <c r="M77" s="225"/>
      <c r="N77" s="225"/>
      <c r="O77" s="225"/>
      <c r="P77" s="109"/>
      <c r="Q77" s="225"/>
      <c r="R77" s="225"/>
      <c r="S77" s="225"/>
      <c r="T77" s="308"/>
      <c r="U77" s="45" t="s">
        <v>305</v>
      </c>
      <c r="V77" s="25" t="s">
        <v>160</v>
      </c>
      <c r="W77" s="173">
        <v>3205.1282051282051</v>
      </c>
      <c r="X77" s="225"/>
      <c r="Y77" s="225"/>
      <c r="Z77" s="225"/>
      <c r="AB77" s="68"/>
    </row>
    <row r="78" spans="1:221" ht="56" x14ac:dyDescent="0.15">
      <c r="A78" s="45" t="s">
        <v>484</v>
      </c>
      <c r="B78" s="25" t="s">
        <v>483</v>
      </c>
      <c r="C78" s="225"/>
      <c r="D78" s="308"/>
      <c r="E78" s="225"/>
      <c r="F78" s="225"/>
      <c r="G78" s="181" t="s">
        <v>156</v>
      </c>
      <c r="H78" s="101"/>
      <c r="I78" s="225"/>
      <c r="J78" s="225"/>
      <c r="K78" s="225"/>
      <c r="L78" s="109"/>
      <c r="M78" s="225"/>
      <c r="N78" s="225"/>
      <c r="O78" s="225"/>
      <c r="P78" s="109"/>
      <c r="Q78" s="225"/>
      <c r="R78" s="225"/>
      <c r="S78" s="225"/>
      <c r="T78" s="308"/>
      <c r="U78" s="45" t="s">
        <v>306</v>
      </c>
      <c r="V78" s="25" t="s">
        <v>160</v>
      </c>
      <c r="W78" s="173">
        <v>19914.529914529914</v>
      </c>
      <c r="X78" s="225"/>
      <c r="Y78" s="225"/>
      <c r="Z78" s="225"/>
      <c r="AB78" s="68"/>
    </row>
    <row r="79" spans="1:221" ht="42" customHeight="1" x14ac:dyDescent="0.15">
      <c r="A79" s="45" t="s">
        <v>417</v>
      </c>
      <c r="B79" s="57" t="s">
        <v>418</v>
      </c>
      <c r="C79" s="225"/>
      <c r="D79" s="308"/>
      <c r="E79" s="181"/>
      <c r="F79" s="181"/>
      <c r="G79" s="181" t="s">
        <v>156</v>
      </c>
      <c r="H79" s="101"/>
      <c r="I79" s="181" t="s">
        <v>156</v>
      </c>
      <c r="J79" s="181" t="s">
        <v>156</v>
      </c>
      <c r="K79" s="181" t="s">
        <v>156</v>
      </c>
      <c r="L79" s="109"/>
      <c r="M79" s="181" t="s">
        <v>156</v>
      </c>
      <c r="N79" s="181" t="s">
        <v>156</v>
      </c>
      <c r="O79" s="181" t="s">
        <v>156</v>
      </c>
      <c r="P79" s="109"/>
      <c r="Q79" s="181" t="s">
        <v>156</v>
      </c>
      <c r="R79" s="181" t="s">
        <v>156</v>
      </c>
      <c r="S79" s="181" t="s">
        <v>156</v>
      </c>
      <c r="T79" s="308"/>
      <c r="U79" s="45" t="s">
        <v>500</v>
      </c>
      <c r="V79" s="25" t="s">
        <v>160</v>
      </c>
      <c r="W79" s="172">
        <v>5026.1623931623999</v>
      </c>
      <c r="X79" s="225"/>
      <c r="Y79" s="225"/>
      <c r="Z79" s="225"/>
      <c r="AB79" s="68"/>
    </row>
    <row r="80" spans="1:221" s="84" customFormat="1" x14ac:dyDescent="0.15">
      <c r="A80" s="142" t="s">
        <v>44</v>
      </c>
      <c r="B80" s="107"/>
      <c r="C80" s="20"/>
      <c r="D80" s="20"/>
      <c r="E80" s="20"/>
      <c r="F80" s="20"/>
      <c r="G80" s="20"/>
      <c r="H80" s="20"/>
      <c r="I80" s="20"/>
      <c r="J80" s="20"/>
      <c r="K80" s="20"/>
      <c r="L80" s="20"/>
      <c r="M80" s="20"/>
      <c r="N80" s="20"/>
      <c r="O80" s="20"/>
      <c r="P80" s="20"/>
      <c r="Q80" s="20"/>
      <c r="R80" s="20"/>
      <c r="S80" s="20"/>
      <c r="T80" s="20"/>
      <c r="U80" s="20"/>
      <c r="V80" s="20"/>
      <c r="W80" s="20"/>
      <c r="X80" s="108"/>
      <c r="Y80" s="108"/>
      <c r="Z80" s="110"/>
    </row>
    <row r="81" spans="1:26" s="84" customFormat="1" ht="28" x14ac:dyDescent="0.15">
      <c r="A81" s="24" t="s">
        <v>247</v>
      </c>
      <c r="B81" s="23"/>
      <c r="C81" s="23"/>
      <c r="D81" s="23"/>
      <c r="E81" s="23"/>
      <c r="F81" s="23"/>
      <c r="G81" s="23"/>
      <c r="H81" s="23"/>
      <c r="I81" s="23"/>
      <c r="J81" s="23"/>
      <c r="K81" s="23"/>
      <c r="L81" s="23"/>
      <c r="M81" s="23"/>
      <c r="N81" s="23"/>
      <c r="O81" s="23"/>
      <c r="P81" s="23"/>
      <c r="Q81" s="23"/>
      <c r="R81" s="23"/>
      <c r="S81" s="23"/>
      <c r="T81" s="23"/>
      <c r="U81" s="23"/>
      <c r="V81" s="23"/>
      <c r="W81" s="23"/>
      <c r="X81" s="76"/>
      <c r="Y81" s="92"/>
      <c r="Z81" s="24" t="s">
        <v>137</v>
      </c>
    </row>
    <row r="82" spans="1:26" s="84" customFormat="1" ht="74" customHeight="1" x14ac:dyDescent="0.15">
      <c r="A82" s="45" t="s">
        <v>294</v>
      </c>
      <c r="B82" s="25" t="s">
        <v>373</v>
      </c>
      <c r="C82" s="206"/>
      <c r="D82" s="101"/>
      <c r="E82" s="181" t="s">
        <v>156</v>
      </c>
      <c r="F82" s="181" t="s">
        <v>156</v>
      </c>
      <c r="G82" s="181" t="s">
        <v>156</v>
      </c>
      <c r="H82" s="101"/>
      <c r="I82" s="181" t="s">
        <v>156</v>
      </c>
      <c r="J82" s="181" t="s">
        <v>156</v>
      </c>
      <c r="K82" s="181" t="s">
        <v>156</v>
      </c>
      <c r="L82" s="101"/>
      <c r="M82" s="181" t="s">
        <v>156</v>
      </c>
      <c r="N82" s="181" t="s">
        <v>156</v>
      </c>
      <c r="O82" s="181" t="s">
        <v>156</v>
      </c>
      <c r="P82" s="77"/>
      <c r="Q82" s="100"/>
      <c r="R82" s="112"/>
      <c r="S82" s="112"/>
      <c r="T82" s="101"/>
      <c r="U82" s="40" t="s">
        <v>339</v>
      </c>
      <c r="V82" s="100"/>
      <c r="W82" s="173">
        <v>3506.3273964604414</v>
      </c>
      <c r="X82" s="99"/>
      <c r="Y82" s="100"/>
      <c r="Z82" s="100"/>
    </row>
    <row r="83" spans="1:26" s="111" customFormat="1" ht="48" customHeight="1" x14ac:dyDescent="0.15">
      <c r="A83" s="45" t="s">
        <v>70</v>
      </c>
      <c r="B83" s="25" t="s">
        <v>371</v>
      </c>
      <c r="C83" s="100"/>
      <c r="D83" s="101"/>
      <c r="E83" s="181" t="s">
        <v>156</v>
      </c>
      <c r="F83" s="181" t="s">
        <v>156</v>
      </c>
      <c r="G83" s="181" t="s">
        <v>156</v>
      </c>
      <c r="H83" s="101"/>
      <c r="I83" s="181" t="s">
        <v>156</v>
      </c>
      <c r="J83" s="181" t="s">
        <v>156</v>
      </c>
      <c r="K83" s="181" t="s">
        <v>156</v>
      </c>
      <c r="L83" s="101"/>
      <c r="M83" s="181" t="s">
        <v>156</v>
      </c>
      <c r="N83" s="181" t="s">
        <v>156</v>
      </c>
      <c r="O83" s="181" t="s">
        <v>156</v>
      </c>
      <c r="P83" s="77"/>
      <c r="Q83" s="100"/>
      <c r="R83" s="112"/>
      <c r="S83" s="112"/>
      <c r="T83" s="101"/>
      <c r="U83" s="40" t="s">
        <v>98</v>
      </c>
      <c r="V83" s="100"/>
      <c r="W83" s="173">
        <v>531494.94957264955</v>
      </c>
      <c r="X83" s="99"/>
      <c r="Y83" s="100"/>
      <c r="Z83" s="100"/>
    </row>
    <row r="84" spans="1:26" s="111" customFormat="1" ht="50" customHeight="1" x14ac:dyDescent="0.15">
      <c r="A84" s="45" t="s">
        <v>420</v>
      </c>
      <c r="B84" s="25" t="s">
        <v>370</v>
      </c>
      <c r="C84" s="100"/>
      <c r="D84" s="101"/>
      <c r="E84" s="181" t="s">
        <v>156</v>
      </c>
      <c r="F84" s="181" t="s">
        <v>156</v>
      </c>
      <c r="G84" s="181" t="s">
        <v>156</v>
      </c>
      <c r="H84" s="101"/>
      <c r="I84" s="181" t="s">
        <v>156</v>
      </c>
      <c r="J84" s="181" t="s">
        <v>156</v>
      </c>
      <c r="K84" s="181" t="s">
        <v>156</v>
      </c>
      <c r="L84" s="101"/>
      <c r="M84" s="181" t="s">
        <v>156</v>
      </c>
      <c r="N84" s="181" t="s">
        <v>156</v>
      </c>
      <c r="O84" s="181" t="s">
        <v>156</v>
      </c>
      <c r="P84" s="77"/>
      <c r="Q84" s="100"/>
      <c r="R84" s="100"/>
      <c r="S84" s="100"/>
      <c r="T84" s="101"/>
      <c r="U84" s="40" t="s">
        <v>99</v>
      </c>
      <c r="V84" s="100"/>
      <c r="W84" s="173">
        <v>47033.837606837609</v>
      </c>
      <c r="X84" s="100"/>
      <c r="Y84" s="100"/>
      <c r="Z84" s="100"/>
    </row>
    <row r="85" spans="1:26" s="84" customFormat="1" ht="42" x14ac:dyDescent="0.15">
      <c r="A85" s="296" t="s">
        <v>260</v>
      </c>
      <c r="B85" s="23"/>
      <c r="C85" s="23"/>
      <c r="D85" s="23"/>
      <c r="E85" s="23"/>
      <c r="F85" s="23"/>
      <c r="G85" s="23"/>
      <c r="H85" s="23"/>
      <c r="I85" s="23"/>
      <c r="J85" s="23"/>
      <c r="K85" s="23"/>
      <c r="L85" s="23"/>
      <c r="M85" s="23"/>
      <c r="N85" s="23"/>
      <c r="O85" s="23"/>
      <c r="P85" s="23"/>
      <c r="Q85" s="23"/>
      <c r="R85" s="23"/>
      <c r="S85" s="23"/>
      <c r="T85" s="23"/>
      <c r="U85" s="23"/>
      <c r="V85" s="23"/>
      <c r="W85" s="23"/>
      <c r="X85" s="76"/>
      <c r="Y85" s="92"/>
      <c r="Z85" s="24" t="s">
        <v>137</v>
      </c>
    </row>
    <row r="86" spans="1:26" s="84" customFormat="1" ht="72" customHeight="1" x14ac:dyDescent="0.15">
      <c r="A86" s="45" t="s">
        <v>294</v>
      </c>
      <c r="B86" s="25" t="s">
        <v>373</v>
      </c>
      <c r="C86" s="206"/>
      <c r="D86" s="101"/>
      <c r="E86" s="48"/>
      <c r="F86" s="48"/>
      <c r="G86" s="48"/>
      <c r="H86" s="101"/>
      <c r="I86" s="181" t="s">
        <v>156</v>
      </c>
      <c r="J86" s="181" t="s">
        <v>156</v>
      </c>
      <c r="K86" s="181" t="s">
        <v>156</v>
      </c>
      <c r="L86" s="101"/>
      <c r="M86" s="181" t="s">
        <v>156</v>
      </c>
      <c r="N86" s="181" t="s">
        <v>156</v>
      </c>
      <c r="O86" s="181" t="s">
        <v>156</v>
      </c>
      <c r="P86" s="77"/>
      <c r="Q86" s="100"/>
      <c r="R86" s="112"/>
      <c r="S86" s="112"/>
      <c r="T86" s="101"/>
      <c r="U86" s="40" t="s">
        <v>295</v>
      </c>
      <c r="V86" s="100"/>
      <c r="W86" s="173">
        <v>3506.3273964604414</v>
      </c>
      <c r="X86" s="99"/>
      <c r="Y86" s="100"/>
      <c r="Z86" s="100"/>
    </row>
    <row r="87" spans="1:26" s="111" customFormat="1" ht="42" x14ac:dyDescent="0.15">
      <c r="A87" s="45" t="s">
        <v>70</v>
      </c>
      <c r="B87" s="25" t="s">
        <v>371</v>
      </c>
      <c r="C87" s="83"/>
      <c r="D87" s="101"/>
      <c r="E87" s="100"/>
      <c r="F87" s="100"/>
      <c r="G87" s="100"/>
      <c r="H87" s="101"/>
      <c r="I87" s="181" t="s">
        <v>156</v>
      </c>
      <c r="J87" s="181" t="s">
        <v>156</v>
      </c>
      <c r="K87" s="181" t="s">
        <v>156</v>
      </c>
      <c r="L87" s="101"/>
      <c r="M87" s="181" t="s">
        <v>156</v>
      </c>
      <c r="N87" s="181" t="s">
        <v>156</v>
      </c>
      <c r="O87" s="181" t="s">
        <v>156</v>
      </c>
      <c r="P87" s="101"/>
      <c r="Q87" s="100"/>
      <c r="R87" s="100"/>
      <c r="S87" s="100"/>
      <c r="T87" s="101"/>
      <c r="U87" s="40" t="s">
        <v>98</v>
      </c>
      <c r="V87" s="100"/>
      <c r="W87" s="173">
        <v>531494.94957264955</v>
      </c>
      <c r="X87" s="100"/>
      <c r="Y87" s="100"/>
      <c r="Z87" s="100"/>
    </row>
    <row r="88" spans="1:26" s="84" customFormat="1" ht="70" x14ac:dyDescent="0.15">
      <c r="A88" s="45" t="s">
        <v>321</v>
      </c>
      <c r="B88" s="25" t="s">
        <v>372</v>
      </c>
      <c r="C88" s="100"/>
      <c r="D88" s="82"/>
      <c r="E88" s="83"/>
      <c r="F88" s="83"/>
      <c r="G88" s="83"/>
      <c r="H88" s="82"/>
      <c r="I88" s="181" t="s">
        <v>156</v>
      </c>
      <c r="J88" s="181" t="s">
        <v>156</v>
      </c>
      <c r="K88" s="181" t="s">
        <v>156</v>
      </c>
      <c r="L88" s="82"/>
      <c r="M88" s="181" t="s">
        <v>156</v>
      </c>
      <c r="N88" s="181" t="s">
        <v>156</v>
      </c>
      <c r="O88" s="181" t="s">
        <v>156</v>
      </c>
      <c r="P88" s="82"/>
      <c r="Q88" s="100"/>
      <c r="R88" s="100"/>
      <c r="S88" s="112"/>
      <c r="T88" s="82"/>
      <c r="U88" s="26" t="s">
        <v>236</v>
      </c>
      <c r="V88" s="83"/>
      <c r="W88" s="173">
        <v>47033.837606837609</v>
      </c>
      <c r="X88" s="83"/>
      <c r="Y88" s="83"/>
      <c r="Z88" s="83"/>
    </row>
    <row r="89" spans="1:26" s="84" customFormat="1" ht="28" x14ac:dyDescent="0.15">
      <c r="A89" s="36" t="s">
        <v>261</v>
      </c>
      <c r="B89" s="23"/>
      <c r="C89" s="23"/>
      <c r="D89" s="23"/>
      <c r="E89" s="23"/>
      <c r="F89" s="23"/>
      <c r="G89" s="23"/>
      <c r="H89" s="23"/>
      <c r="I89" s="23"/>
      <c r="J89" s="23"/>
      <c r="K89" s="23"/>
      <c r="L89" s="23"/>
      <c r="M89" s="23"/>
      <c r="N89" s="23"/>
      <c r="O89" s="23"/>
      <c r="P89" s="23"/>
      <c r="Q89" s="23"/>
      <c r="R89" s="23"/>
      <c r="S89" s="23"/>
      <c r="T89" s="23"/>
      <c r="U89" s="23"/>
      <c r="V89" s="23"/>
      <c r="W89" s="23"/>
      <c r="X89" s="76"/>
      <c r="Y89" s="92"/>
      <c r="Z89" s="93"/>
    </row>
    <row r="90" spans="1:26" s="84" customFormat="1" ht="28" x14ac:dyDescent="0.15">
      <c r="A90" s="282" t="s">
        <v>297</v>
      </c>
      <c r="B90" s="282" t="s">
        <v>340</v>
      </c>
      <c r="C90" s="288"/>
      <c r="D90" s="109"/>
      <c r="E90" s="289"/>
      <c r="F90" s="48"/>
      <c r="G90" s="181" t="s">
        <v>156</v>
      </c>
      <c r="H90" s="109"/>
      <c r="I90" s="48"/>
      <c r="J90" s="289"/>
      <c r="K90" s="289"/>
      <c r="L90" s="109"/>
      <c r="M90" s="289"/>
      <c r="N90" s="289"/>
      <c r="O90" s="290"/>
      <c r="P90" s="291"/>
      <c r="Q90" s="48"/>
      <c r="R90" s="48"/>
      <c r="S90" s="289"/>
      <c r="T90" s="291"/>
      <c r="U90" s="282" t="s">
        <v>458</v>
      </c>
      <c r="V90" s="114"/>
      <c r="W90" s="172">
        <v>26111.111111111109</v>
      </c>
      <c r="X90" s="114"/>
      <c r="Y90" s="103"/>
      <c r="Z90" s="103"/>
    </row>
    <row r="91" spans="1:26" s="98" customFormat="1" ht="28" x14ac:dyDescent="0.15">
      <c r="A91" s="143" t="s">
        <v>485</v>
      </c>
      <c r="B91" s="45" t="s">
        <v>375</v>
      </c>
      <c r="C91" s="127"/>
      <c r="D91" s="113"/>
      <c r="E91" s="103"/>
      <c r="F91" s="48"/>
      <c r="G91" s="181" t="s">
        <v>156</v>
      </c>
      <c r="H91" s="113"/>
      <c r="I91" s="48"/>
      <c r="J91" s="103"/>
      <c r="K91" s="103"/>
      <c r="L91" s="113"/>
      <c r="M91" s="103"/>
      <c r="N91" s="103"/>
      <c r="O91" s="104"/>
      <c r="P91" s="82"/>
      <c r="Q91" s="48"/>
      <c r="R91" s="48"/>
      <c r="S91" s="103"/>
      <c r="T91" s="82"/>
      <c r="U91" s="145" t="s">
        <v>491</v>
      </c>
      <c r="V91" s="114"/>
      <c r="W91" s="172">
        <v>8765.818491151098</v>
      </c>
      <c r="X91" s="114"/>
      <c r="Y91" s="103"/>
      <c r="Z91" s="103"/>
    </row>
    <row r="92" spans="1:26" s="84" customFormat="1" ht="28" x14ac:dyDescent="0.15">
      <c r="A92" s="36" t="s">
        <v>262</v>
      </c>
      <c r="B92" s="23"/>
      <c r="C92" s="23"/>
      <c r="D92" s="23"/>
      <c r="E92" s="23"/>
      <c r="F92" s="23"/>
      <c r="G92" s="23"/>
      <c r="H92" s="23"/>
      <c r="I92" s="23"/>
      <c r="J92" s="23"/>
      <c r="K92" s="23"/>
      <c r="L92" s="23"/>
      <c r="M92" s="23"/>
      <c r="N92" s="23"/>
      <c r="O92" s="23"/>
      <c r="P92" s="23"/>
      <c r="Q92" s="23"/>
      <c r="R92" s="23"/>
      <c r="S92" s="23"/>
      <c r="T92" s="23"/>
      <c r="U92" s="23"/>
      <c r="V92" s="23"/>
      <c r="W92" s="23"/>
      <c r="X92" s="76"/>
      <c r="Y92" s="92"/>
      <c r="Z92" s="93"/>
    </row>
    <row r="93" spans="1:26" s="98" customFormat="1" ht="55" customHeight="1" x14ac:dyDescent="0.15">
      <c r="A93" s="145" t="s">
        <v>486</v>
      </c>
      <c r="B93" s="25" t="s">
        <v>354</v>
      </c>
      <c r="C93" s="127"/>
      <c r="D93" s="113"/>
      <c r="E93" s="103"/>
      <c r="F93" s="48"/>
      <c r="G93" s="181"/>
      <c r="H93" s="113"/>
      <c r="I93" s="181" t="s">
        <v>156</v>
      </c>
      <c r="J93" s="181" t="s">
        <v>156</v>
      </c>
      <c r="K93" s="181" t="s">
        <v>156</v>
      </c>
      <c r="L93" s="113"/>
      <c r="M93" s="181" t="s">
        <v>156</v>
      </c>
      <c r="N93" s="181" t="s">
        <v>156</v>
      </c>
      <c r="O93" s="181"/>
      <c r="P93" s="113"/>
      <c r="Q93" s="48"/>
      <c r="R93" s="48"/>
      <c r="S93" s="48"/>
      <c r="T93" s="113"/>
      <c r="U93" s="145" t="s">
        <v>248</v>
      </c>
      <c r="V93" s="114"/>
      <c r="W93" s="172">
        <v>230098.7</v>
      </c>
      <c r="X93" s="114"/>
      <c r="Y93" s="103"/>
      <c r="Z93" s="103"/>
    </row>
    <row r="94" spans="1:26" s="84" customFormat="1" ht="28" x14ac:dyDescent="0.15">
      <c r="A94" s="36" t="s">
        <v>353</v>
      </c>
      <c r="B94" s="23"/>
      <c r="C94" s="23"/>
      <c r="D94" s="23"/>
      <c r="E94" s="23"/>
      <c r="F94" s="23"/>
      <c r="G94" s="23"/>
      <c r="H94" s="23"/>
      <c r="I94" s="23"/>
      <c r="J94" s="23"/>
      <c r="K94" s="23"/>
      <c r="L94" s="23"/>
      <c r="M94" s="23"/>
      <c r="N94" s="23"/>
      <c r="O94" s="23"/>
      <c r="P94" s="23"/>
      <c r="Q94" s="23"/>
      <c r="R94" s="23"/>
      <c r="S94" s="23"/>
      <c r="T94" s="23"/>
      <c r="U94" s="23"/>
      <c r="V94" s="23"/>
      <c r="W94" s="23"/>
      <c r="X94" s="76"/>
      <c r="Y94" s="92"/>
      <c r="Z94" s="93"/>
    </row>
    <row r="95" spans="1:26" s="191" customFormat="1" ht="28" x14ac:dyDescent="0.15">
      <c r="A95" s="282" t="s">
        <v>504</v>
      </c>
      <c r="B95" s="282" t="s">
        <v>340</v>
      </c>
      <c r="C95" s="195"/>
      <c r="D95" s="193"/>
      <c r="E95" s="51"/>
      <c r="F95" s="51"/>
      <c r="G95" s="284" t="s">
        <v>156</v>
      </c>
      <c r="H95" s="193"/>
      <c r="I95" s="51"/>
      <c r="J95" s="51"/>
      <c r="K95" s="51"/>
      <c r="L95" s="193"/>
      <c r="M95" s="194"/>
      <c r="N95" s="194"/>
      <c r="O95" s="196"/>
      <c r="P95" s="193"/>
      <c r="Q95" s="285"/>
      <c r="R95" s="285"/>
      <c r="S95" s="194"/>
      <c r="T95" s="193"/>
      <c r="U95" s="252" t="s">
        <v>189</v>
      </c>
      <c r="V95" s="195"/>
      <c r="W95" s="172">
        <v>443962.39316239319</v>
      </c>
      <c r="X95" s="195"/>
      <c r="Y95" s="194"/>
      <c r="Z95" s="194"/>
    </row>
    <row r="96" spans="1:26" s="98" customFormat="1" ht="81" customHeight="1" x14ac:dyDescent="0.15">
      <c r="A96" s="145" t="s">
        <v>488</v>
      </c>
      <c r="B96" s="25" t="s">
        <v>354</v>
      </c>
      <c r="C96" s="127"/>
      <c r="D96" s="113"/>
      <c r="E96" s="103"/>
      <c r="F96" s="181" t="s">
        <v>156</v>
      </c>
      <c r="G96" s="181" t="s">
        <v>156</v>
      </c>
      <c r="H96" s="113"/>
      <c r="I96" s="181" t="s">
        <v>156</v>
      </c>
      <c r="J96" s="181" t="s">
        <v>156</v>
      </c>
      <c r="K96" s="181" t="s">
        <v>156</v>
      </c>
      <c r="L96" s="113"/>
      <c r="M96" s="181" t="s">
        <v>156</v>
      </c>
      <c r="N96" s="181" t="s">
        <v>156</v>
      </c>
      <c r="O96" s="104"/>
      <c r="P96" s="113"/>
      <c r="Q96" s="48"/>
      <c r="R96" s="48"/>
      <c r="S96" s="48"/>
      <c r="T96" s="113"/>
      <c r="U96" s="145"/>
      <c r="V96" s="25" t="s">
        <v>385</v>
      </c>
      <c r="W96" s="172">
        <v>200000</v>
      </c>
      <c r="X96" s="114"/>
      <c r="Y96" s="103"/>
      <c r="Z96" s="103"/>
    </row>
    <row r="97" spans="1:28" s="98" customFormat="1" ht="40" customHeight="1" x14ac:dyDescent="0.15">
      <c r="A97" s="145" t="s">
        <v>487</v>
      </c>
      <c r="B97" s="25" t="s">
        <v>354</v>
      </c>
      <c r="C97" s="127"/>
      <c r="D97" s="113"/>
      <c r="E97" s="103"/>
      <c r="F97" s="181" t="s">
        <v>156</v>
      </c>
      <c r="G97" s="181" t="s">
        <v>156</v>
      </c>
      <c r="H97" s="113"/>
      <c r="I97" s="181" t="s">
        <v>156</v>
      </c>
      <c r="J97" s="181" t="s">
        <v>156</v>
      </c>
      <c r="K97" s="181"/>
      <c r="L97" s="113"/>
      <c r="M97" s="181" t="s">
        <v>156</v>
      </c>
      <c r="N97" s="181" t="s">
        <v>156</v>
      </c>
      <c r="O97" s="181"/>
      <c r="P97" s="113"/>
      <c r="Q97" s="48"/>
      <c r="R97" s="48"/>
      <c r="S97" s="48"/>
      <c r="T97" s="113"/>
      <c r="V97" s="25" t="s">
        <v>160</v>
      </c>
      <c r="W97" s="172">
        <v>100000</v>
      </c>
      <c r="X97" s="114"/>
      <c r="Y97" s="103"/>
      <c r="Z97" s="103"/>
    </row>
    <row r="98" spans="1:28" s="190" customFormat="1" ht="28" x14ac:dyDescent="0.15">
      <c r="A98" s="36" t="s">
        <v>263</v>
      </c>
      <c r="B98" s="187"/>
      <c r="C98" s="187"/>
      <c r="D98" s="187"/>
      <c r="E98" s="187"/>
      <c r="F98" s="187"/>
      <c r="G98" s="187"/>
      <c r="H98" s="187"/>
      <c r="I98" s="187"/>
      <c r="J98" s="187"/>
      <c r="K98" s="187"/>
      <c r="L98" s="187"/>
      <c r="M98" s="187"/>
      <c r="N98" s="187"/>
      <c r="O98" s="187"/>
      <c r="P98" s="187"/>
      <c r="Q98" s="187"/>
      <c r="R98" s="187"/>
      <c r="S98" s="187"/>
      <c r="T98" s="187"/>
      <c r="U98" s="145"/>
      <c r="V98" s="187"/>
      <c r="W98" s="23"/>
      <c r="X98" s="188"/>
      <c r="Y98" s="189"/>
      <c r="Z98" s="93"/>
    </row>
    <row r="99" spans="1:28" s="191" customFormat="1" ht="42" x14ac:dyDescent="0.15">
      <c r="A99" s="145" t="s">
        <v>162</v>
      </c>
      <c r="B99" s="25" t="s">
        <v>374</v>
      </c>
      <c r="C99" s="192"/>
      <c r="D99" s="193"/>
      <c r="E99" s="194"/>
      <c r="F99" s="194"/>
      <c r="G99" s="194"/>
      <c r="H99" s="193"/>
      <c r="I99" s="194"/>
      <c r="J99" s="194"/>
      <c r="K99" s="194"/>
      <c r="L99" s="193"/>
      <c r="M99" s="53"/>
      <c r="N99" s="181" t="s">
        <v>156</v>
      </c>
      <c r="O99" s="196"/>
      <c r="P99" s="193"/>
      <c r="Q99" s="194"/>
      <c r="R99" s="194"/>
      <c r="S99" s="53"/>
      <c r="T99" s="193"/>
      <c r="U99" s="145" t="s">
        <v>190</v>
      </c>
      <c r="V99" s="195"/>
      <c r="W99" s="172">
        <v>9204.1094157086554</v>
      </c>
      <c r="X99" s="195"/>
      <c r="Y99" s="194"/>
      <c r="Z99" s="194"/>
    </row>
    <row r="100" spans="1:28" s="98" customFormat="1" ht="14" x14ac:dyDescent="0.15">
      <c r="A100" s="59" t="s">
        <v>45</v>
      </c>
      <c r="B100" s="59"/>
      <c r="C100" s="59"/>
      <c r="D100" s="193"/>
      <c r="E100" s="59"/>
      <c r="F100" s="59"/>
      <c r="G100" s="59"/>
      <c r="H100" s="193"/>
      <c r="I100" s="59"/>
      <c r="J100" s="59"/>
      <c r="K100" s="59"/>
      <c r="L100" s="193"/>
      <c r="M100" s="59"/>
      <c r="N100" s="59"/>
      <c r="O100" s="59"/>
      <c r="P100" s="193"/>
      <c r="Q100" s="59"/>
      <c r="R100" s="59"/>
      <c r="S100" s="59"/>
      <c r="T100" s="193"/>
      <c r="U100" s="59"/>
      <c r="V100" s="59"/>
      <c r="W100" s="59"/>
      <c r="X100" s="59"/>
      <c r="Y100" s="59"/>
      <c r="Z100" s="59"/>
    </row>
    <row r="101" spans="1:28" s="78" customFormat="1" ht="31" customHeight="1" x14ac:dyDescent="0.15">
      <c r="A101" s="36" t="s">
        <v>46</v>
      </c>
      <c r="B101" s="23"/>
      <c r="C101" s="23"/>
      <c r="D101" s="23"/>
      <c r="E101" s="23"/>
      <c r="F101" s="23"/>
      <c r="G101" s="23"/>
      <c r="H101" s="23"/>
      <c r="I101" s="23"/>
      <c r="J101" s="23"/>
      <c r="K101" s="23"/>
      <c r="L101" s="23"/>
      <c r="M101" s="23"/>
      <c r="N101" s="23"/>
      <c r="O101" s="23"/>
      <c r="P101" s="23"/>
      <c r="Q101" s="23"/>
      <c r="R101" s="23"/>
      <c r="S101" s="23"/>
      <c r="T101" s="23"/>
      <c r="U101" s="23"/>
      <c r="V101" s="23"/>
      <c r="W101" s="23"/>
      <c r="X101" s="76"/>
      <c r="Y101" s="92"/>
      <c r="Z101" s="24" t="s">
        <v>163</v>
      </c>
    </row>
    <row r="102" spans="1:28" s="84" customFormat="1" ht="37" customHeight="1" x14ac:dyDescent="0.15">
      <c r="A102" s="25" t="s">
        <v>63</v>
      </c>
      <c r="B102" s="25" t="s">
        <v>47</v>
      </c>
      <c r="C102" s="83"/>
      <c r="D102" s="85"/>
      <c r="E102" s="86"/>
      <c r="F102" s="86"/>
      <c r="G102" s="144"/>
      <c r="H102" s="85"/>
      <c r="I102" s="86"/>
      <c r="J102" s="86"/>
      <c r="K102" s="86"/>
      <c r="L102" s="85"/>
      <c r="M102" s="86"/>
      <c r="N102" s="86"/>
      <c r="O102" s="86"/>
      <c r="P102" s="85"/>
      <c r="Q102" s="181" t="s">
        <v>156</v>
      </c>
      <c r="R102" s="86"/>
      <c r="S102" s="144"/>
      <c r="T102" s="85"/>
      <c r="U102" s="25" t="s">
        <v>342</v>
      </c>
      <c r="V102" s="86"/>
      <c r="W102" s="83"/>
      <c r="X102" s="172"/>
      <c r="Y102" s="172">
        <f>(3811.22543093526*1.15)*2</f>
        <v>8765.818491151098</v>
      </c>
      <c r="Z102" s="86"/>
    </row>
    <row r="103" spans="1:28" s="87" customFormat="1" ht="58" customHeight="1" x14ac:dyDescent="0.2">
      <c r="A103" s="25" t="s">
        <v>48</v>
      </c>
      <c r="B103" s="56" t="s">
        <v>322</v>
      </c>
      <c r="C103" s="86"/>
      <c r="D103" s="85"/>
      <c r="E103" s="86"/>
      <c r="F103" s="86"/>
      <c r="G103" s="144"/>
      <c r="H103" s="85"/>
      <c r="I103" s="86"/>
      <c r="J103" s="86"/>
      <c r="K103" s="86"/>
      <c r="L103" s="85"/>
      <c r="M103" s="86"/>
      <c r="N103" s="86"/>
      <c r="O103" s="86"/>
      <c r="P103" s="85"/>
      <c r="Q103" s="181" t="s">
        <v>156</v>
      </c>
      <c r="R103" s="86"/>
      <c r="S103" s="86"/>
      <c r="T103" s="85"/>
      <c r="U103" s="25" t="s">
        <v>164</v>
      </c>
      <c r="V103" s="86"/>
      <c r="W103" s="86"/>
      <c r="X103" s="172"/>
      <c r="Y103" s="172">
        <v>24017.1840532231</v>
      </c>
      <c r="Z103" s="86"/>
    </row>
    <row r="104" spans="1:28" s="84" customFormat="1" ht="28" x14ac:dyDescent="0.15">
      <c r="A104" s="31" t="s">
        <v>49</v>
      </c>
      <c r="B104" s="23"/>
      <c r="C104" s="23"/>
      <c r="D104" s="23"/>
      <c r="E104" s="23"/>
      <c r="F104" s="23"/>
      <c r="G104" s="23"/>
      <c r="H104" s="23"/>
      <c r="I104" s="23"/>
      <c r="J104" s="23"/>
      <c r="K104" s="23"/>
      <c r="L104" s="23"/>
      <c r="M104" s="23"/>
      <c r="N104" s="23"/>
      <c r="O104" s="23"/>
      <c r="P104" s="23"/>
      <c r="Q104" s="23"/>
      <c r="R104" s="23"/>
      <c r="S104" s="23"/>
      <c r="T104" s="23"/>
      <c r="U104" s="23"/>
      <c r="V104" s="23"/>
      <c r="W104" s="23"/>
      <c r="X104" s="76"/>
      <c r="Y104" s="92"/>
      <c r="Z104" s="24" t="s">
        <v>163</v>
      </c>
    </row>
    <row r="105" spans="1:28" s="84" customFormat="1" ht="41" customHeight="1" x14ac:dyDescent="0.15">
      <c r="A105" s="25" t="s">
        <v>244</v>
      </c>
      <c r="B105" s="25" t="s">
        <v>78</v>
      </c>
      <c r="C105" s="91"/>
      <c r="D105" s="82"/>
      <c r="E105" s="155"/>
      <c r="F105" s="86"/>
      <c r="G105" s="181" t="s">
        <v>156</v>
      </c>
      <c r="H105" s="85"/>
      <c r="I105" s="86"/>
      <c r="J105" s="144"/>
      <c r="K105" s="86"/>
      <c r="L105" s="85"/>
      <c r="M105" s="86"/>
      <c r="N105" s="86"/>
      <c r="O105" s="86"/>
      <c r="P105" s="85"/>
      <c r="Q105" s="86"/>
      <c r="R105" s="86"/>
      <c r="S105" s="86"/>
      <c r="T105" s="82"/>
      <c r="U105" s="25" t="s">
        <v>100</v>
      </c>
      <c r="V105" s="25"/>
      <c r="W105" s="83"/>
      <c r="X105" s="172"/>
      <c r="Y105" s="172">
        <f>76300</f>
        <v>76300</v>
      </c>
      <c r="Z105" s="83"/>
    </row>
    <row r="106" spans="1:28" s="84" customFormat="1" ht="42" x14ac:dyDescent="0.15">
      <c r="A106" s="36" t="s">
        <v>74</v>
      </c>
      <c r="B106" s="23"/>
      <c r="C106" s="23"/>
      <c r="D106" s="23"/>
      <c r="E106" s="23"/>
      <c r="F106" s="23"/>
      <c r="G106" s="23"/>
      <c r="H106" s="23"/>
      <c r="I106" s="23"/>
      <c r="J106" s="23"/>
      <c r="K106" s="23"/>
      <c r="L106" s="23"/>
      <c r="M106" s="23"/>
      <c r="N106" s="23"/>
      <c r="O106" s="23"/>
      <c r="P106" s="23"/>
      <c r="Q106" s="23"/>
      <c r="R106" s="23"/>
      <c r="S106" s="23"/>
      <c r="T106" s="23"/>
      <c r="U106" s="23"/>
      <c r="V106" s="23"/>
      <c r="W106" s="23"/>
      <c r="X106" s="76"/>
      <c r="Y106" s="92"/>
      <c r="Z106" s="24" t="s">
        <v>131</v>
      </c>
    </row>
    <row r="107" spans="1:28" s="84" customFormat="1" ht="38" customHeight="1" x14ac:dyDescent="0.15">
      <c r="A107" s="25" t="s">
        <v>165</v>
      </c>
      <c r="B107" s="25" t="s">
        <v>126</v>
      </c>
      <c r="C107" s="83"/>
      <c r="D107" s="82"/>
      <c r="E107" s="83"/>
      <c r="F107" s="181" t="s">
        <v>156</v>
      </c>
      <c r="G107" s="181" t="s">
        <v>156</v>
      </c>
      <c r="H107" s="85"/>
      <c r="I107" s="181" t="s">
        <v>156</v>
      </c>
      <c r="J107" s="181" t="s">
        <v>156</v>
      </c>
      <c r="K107" s="181" t="s">
        <v>156</v>
      </c>
      <c r="L107" s="85"/>
      <c r="M107" s="181" t="s">
        <v>156</v>
      </c>
      <c r="N107" s="144"/>
      <c r="O107" s="144"/>
      <c r="P107" s="85"/>
      <c r="Q107" s="181" t="s">
        <v>156</v>
      </c>
      <c r="R107" s="181" t="s">
        <v>156</v>
      </c>
      <c r="S107" s="86"/>
      <c r="T107" s="82"/>
      <c r="U107" s="25" t="s">
        <v>101</v>
      </c>
      <c r="V107" s="83"/>
      <c r="W107" s="83"/>
      <c r="X107" s="172"/>
      <c r="Y107" s="172">
        <v>2393.1623931623931</v>
      </c>
      <c r="Z107" s="83"/>
    </row>
    <row r="108" spans="1:28" s="84" customFormat="1" ht="28" x14ac:dyDescent="0.15">
      <c r="A108" s="25" t="s">
        <v>54</v>
      </c>
      <c r="B108" s="25" t="s">
        <v>126</v>
      </c>
      <c r="C108" s="83"/>
      <c r="D108" s="82"/>
      <c r="E108" s="83"/>
      <c r="F108" s="181" t="s">
        <v>156</v>
      </c>
      <c r="G108" s="181" t="s">
        <v>156</v>
      </c>
      <c r="H108" s="85"/>
      <c r="I108" s="181" t="s">
        <v>156</v>
      </c>
      <c r="J108" s="181" t="s">
        <v>156</v>
      </c>
      <c r="K108" s="181" t="s">
        <v>156</v>
      </c>
      <c r="L108" s="85"/>
      <c r="M108" s="181" t="s">
        <v>156</v>
      </c>
      <c r="N108" s="144"/>
      <c r="O108" s="144"/>
      <c r="P108" s="85"/>
      <c r="Q108" s="181" t="s">
        <v>156</v>
      </c>
      <c r="R108" s="181" t="s">
        <v>156</v>
      </c>
      <c r="S108" s="83"/>
      <c r="T108" s="82"/>
      <c r="U108" s="25" t="s">
        <v>103</v>
      </c>
      <c r="V108" s="83"/>
      <c r="W108" s="83"/>
      <c r="X108" s="172"/>
      <c r="Y108" s="172">
        <f>571.683814640289*1.15</f>
        <v>657.4363868363323</v>
      </c>
      <c r="Z108" s="83"/>
    </row>
    <row r="109" spans="1:28" s="84" customFormat="1" ht="56" x14ac:dyDescent="0.15">
      <c r="A109" s="25" t="s">
        <v>124</v>
      </c>
      <c r="B109" s="25" t="s">
        <v>142</v>
      </c>
      <c r="C109" s="83"/>
      <c r="D109" s="85"/>
      <c r="E109" s="86"/>
      <c r="F109" s="181" t="s">
        <v>156</v>
      </c>
      <c r="G109" s="181" t="s">
        <v>156</v>
      </c>
      <c r="H109" s="85"/>
      <c r="I109" s="181" t="s">
        <v>156</v>
      </c>
      <c r="J109" s="181" t="s">
        <v>156</v>
      </c>
      <c r="K109" s="181" t="s">
        <v>156</v>
      </c>
      <c r="L109" s="85"/>
      <c r="M109" s="181" t="s">
        <v>156</v>
      </c>
      <c r="N109" s="144"/>
      <c r="O109" s="144"/>
      <c r="P109" s="85"/>
      <c r="Q109" s="181" t="s">
        <v>156</v>
      </c>
      <c r="R109" s="181" t="s">
        <v>156</v>
      </c>
      <c r="S109" s="86"/>
      <c r="T109" s="85"/>
      <c r="U109" s="25" t="s">
        <v>102</v>
      </c>
      <c r="V109" s="89"/>
      <c r="W109" s="83"/>
      <c r="X109" s="172"/>
      <c r="Y109" s="172">
        <v>17020.598290598289</v>
      </c>
      <c r="Z109" s="86"/>
    </row>
    <row r="110" spans="1:28" s="84" customFormat="1" ht="95" customHeight="1" x14ac:dyDescent="0.15">
      <c r="A110" s="25" t="s">
        <v>119</v>
      </c>
      <c r="B110" s="25" t="s">
        <v>492</v>
      </c>
      <c r="C110" s="83"/>
      <c r="D110" s="82"/>
      <c r="E110" s="86"/>
      <c r="F110" s="181" t="s">
        <v>156</v>
      </c>
      <c r="G110" s="181" t="s">
        <v>156</v>
      </c>
      <c r="H110" s="85"/>
      <c r="I110" s="181" t="s">
        <v>156</v>
      </c>
      <c r="J110" s="181" t="s">
        <v>156</v>
      </c>
      <c r="K110" s="181" t="s">
        <v>156</v>
      </c>
      <c r="L110" s="85"/>
      <c r="M110" s="181" t="s">
        <v>156</v>
      </c>
      <c r="N110" s="181" t="s">
        <v>156</v>
      </c>
      <c r="O110" s="181" t="s">
        <v>156</v>
      </c>
      <c r="P110" s="85"/>
      <c r="Q110" s="181" t="s">
        <v>156</v>
      </c>
      <c r="R110" s="181" t="s">
        <v>156</v>
      </c>
      <c r="S110" s="86"/>
      <c r="T110" s="82"/>
      <c r="U110" s="25" t="s">
        <v>104</v>
      </c>
      <c r="V110" s="90"/>
      <c r="W110" s="83"/>
      <c r="X110" s="91"/>
      <c r="Y110" s="172">
        <f>8140.77752047771*1.15+5000</f>
        <v>14361.894148549365</v>
      </c>
      <c r="Z110" s="83"/>
      <c r="AB110" s="221"/>
    </row>
    <row r="111" spans="1:28" s="84" customFormat="1" ht="66" customHeight="1" x14ac:dyDescent="0.15">
      <c r="A111" s="25" t="s">
        <v>120</v>
      </c>
      <c r="B111" s="25" t="s">
        <v>166</v>
      </c>
      <c r="C111" s="83"/>
      <c r="D111" s="82"/>
      <c r="E111" s="83"/>
      <c r="F111" s="181" t="s">
        <v>156</v>
      </c>
      <c r="G111" s="86"/>
      <c r="H111" s="85"/>
      <c r="I111" s="86"/>
      <c r="J111" s="181" t="s">
        <v>156</v>
      </c>
      <c r="K111" s="86"/>
      <c r="L111" s="85"/>
      <c r="M111" s="86"/>
      <c r="N111" s="181" t="s">
        <v>156</v>
      </c>
      <c r="O111" s="86"/>
      <c r="P111" s="85"/>
      <c r="Q111" s="86"/>
      <c r="R111" s="181" t="s">
        <v>156</v>
      </c>
      <c r="S111" s="86"/>
      <c r="T111" s="85"/>
      <c r="U111" s="26" t="s">
        <v>105</v>
      </c>
      <c r="V111" s="90"/>
      <c r="W111" s="83"/>
      <c r="X111" s="91"/>
      <c r="Y111" s="172">
        <v>5714.1025641025644</v>
      </c>
      <c r="Z111" s="83"/>
    </row>
    <row r="112" spans="1:28" s="84" customFormat="1" ht="28" x14ac:dyDescent="0.15">
      <c r="A112" s="36" t="s">
        <v>68</v>
      </c>
      <c r="B112" s="23"/>
      <c r="C112" s="23"/>
      <c r="D112" s="23"/>
      <c r="E112" s="23"/>
      <c r="F112" s="23"/>
      <c r="G112" s="23"/>
      <c r="H112" s="23"/>
      <c r="I112" s="23"/>
      <c r="J112" s="23"/>
      <c r="K112" s="23"/>
      <c r="L112" s="23"/>
      <c r="M112" s="23"/>
      <c r="N112" s="23"/>
      <c r="O112" s="23"/>
      <c r="P112" s="23"/>
      <c r="Q112" s="23"/>
      <c r="R112" s="23"/>
      <c r="S112" s="23"/>
      <c r="T112" s="23"/>
      <c r="U112" s="23"/>
      <c r="V112" s="23"/>
      <c r="W112" s="23"/>
      <c r="X112" s="76"/>
      <c r="Y112" s="92"/>
      <c r="Z112" s="24" t="s">
        <v>137</v>
      </c>
    </row>
    <row r="113" spans="1:28" s="84" customFormat="1" ht="42" x14ac:dyDescent="0.15">
      <c r="A113" s="25" t="s">
        <v>50</v>
      </c>
      <c r="B113" s="25" t="s">
        <v>421</v>
      </c>
      <c r="C113" s="83"/>
      <c r="D113" s="82"/>
      <c r="E113" s="181" t="s">
        <v>156</v>
      </c>
      <c r="F113" s="181" t="s">
        <v>156</v>
      </c>
      <c r="G113" s="181" t="s">
        <v>156</v>
      </c>
      <c r="H113" s="82"/>
      <c r="I113" s="181" t="s">
        <v>156</v>
      </c>
      <c r="J113" s="181" t="s">
        <v>156</v>
      </c>
      <c r="K113" s="181" t="s">
        <v>156</v>
      </c>
      <c r="L113" s="82"/>
      <c r="M113" s="181" t="s">
        <v>156</v>
      </c>
      <c r="N113" s="86"/>
      <c r="O113" s="86"/>
      <c r="P113" s="82"/>
      <c r="Q113" s="181" t="s">
        <v>156</v>
      </c>
      <c r="R113" s="181" t="s">
        <v>156</v>
      </c>
      <c r="S113" s="181" t="s">
        <v>156</v>
      </c>
      <c r="T113" s="82"/>
      <c r="U113" s="25" t="s">
        <v>168</v>
      </c>
      <c r="V113" s="90"/>
      <c r="W113" s="83"/>
      <c r="X113" s="91"/>
      <c r="Y113" s="172">
        <f>8262.73673426764*1.15</f>
        <v>9502.1472444077863</v>
      </c>
      <c r="Z113" s="83"/>
    </row>
    <row r="114" spans="1:28" s="84" customFormat="1" ht="42" x14ac:dyDescent="0.15">
      <c r="A114" s="25" t="s">
        <v>51</v>
      </c>
      <c r="B114" s="25" t="s">
        <v>422</v>
      </c>
      <c r="C114" s="83"/>
      <c r="D114" s="82"/>
      <c r="E114" s="181" t="s">
        <v>156</v>
      </c>
      <c r="F114" s="181" t="s">
        <v>156</v>
      </c>
      <c r="G114" s="181" t="s">
        <v>156</v>
      </c>
      <c r="H114" s="85"/>
      <c r="I114" s="181" t="s">
        <v>156</v>
      </c>
      <c r="J114" s="181" t="s">
        <v>156</v>
      </c>
      <c r="K114" s="181" t="s">
        <v>156</v>
      </c>
      <c r="L114" s="82"/>
      <c r="M114" s="181" t="s">
        <v>156</v>
      </c>
      <c r="N114" s="86"/>
      <c r="O114" s="86"/>
      <c r="P114" s="85"/>
      <c r="Q114" s="181" t="s">
        <v>156</v>
      </c>
      <c r="R114" s="181" t="s">
        <v>156</v>
      </c>
      <c r="S114" s="181" t="s">
        <v>156</v>
      </c>
      <c r="T114" s="82"/>
      <c r="U114" s="25" t="s">
        <v>106</v>
      </c>
      <c r="V114" s="90"/>
      <c r="W114" s="83"/>
      <c r="X114" s="91"/>
      <c r="Y114" s="172">
        <f>13644.1870427482*1.15</f>
        <v>15690.815099160429</v>
      </c>
      <c r="Z114" s="83"/>
      <c r="AB114" s="297"/>
    </row>
    <row r="115" spans="1:28" s="84" customFormat="1" ht="42" x14ac:dyDescent="0.15">
      <c r="A115" s="25" t="s">
        <v>52</v>
      </c>
      <c r="B115" s="25" t="s">
        <v>167</v>
      </c>
      <c r="C115" s="83"/>
      <c r="D115" s="82"/>
      <c r="E115" s="181" t="s">
        <v>156</v>
      </c>
      <c r="F115" s="181" t="s">
        <v>156</v>
      </c>
      <c r="G115" s="181" t="s">
        <v>156</v>
      </c>
      <c r="H115" s="94"/>
      <c r="I115" s="181" t="s">
        <v>156</v>
      </c>
      <c r="J115" s="181" t="s">
        <v>156</v>
      </c>
      <c r="K115" s="181" t="s">
        <v>156</v>
      </c>
      <c r="L115" s="82"/>
      <c r="M115" s="181" t="s">
        <v>156</v>
      </c>
      <c r="N115" s="86"/>
      <c r="O115" s="86"/>
      <c r="P115" s="85"/>
      <c r="Q115" s="181" t="s">
        <v>156</v>
      </c>
      <c r="R115" s="181" t="s">
        <v>156</v>
      </c>
      <c r="S115" s="181" t="s">
        <v>156</v>
      </c>
      <c r="T115" s="82"/>
      <c r="U115" s="25" t="s">
        <v>107</v>
      </c>
      <c r="V115" s="90"/>
      <c r="W115" s="83"/>
      <c r="X115" s="91"/>
      <c r="Y115" s="172">
        <f>9101.2063290734*1.15</f>
        <v>10466.387278434409</v>
      </c>
      <c r="Z115" s="83"/>
    </row>
    <row r="116" spans="1:28" s="84" customFormat="1" ht="42" x14ac:dyDescent="0.15">
      <c r="A116" s="25" t="s">
        <v>123</v>
      </c>
      <c r="B116" s="25" t="s">
        <v>167</v>
      </c>
      <c r="C116" s="83"/>
      <c r="D116" s="82"/>
      <c r="E116" s="181" t="s">
        <v>156</v>
      </c>
      <c r="F116" s="181" t="s">
        <v>156</v>
      </c>
      <c r="G116" s="181" t="s">
        <v>156</v>
      </c>
      <c r="H116" s="94"/>
      <c r="I116" s="181" t="s">
        <v>156</v>
      </c>
      <c r="J116" s="181" t="s">
        <v>156</v>
      </c>
      <c r="K116" s="181" t="s">
        <v>156</v>
      </c>
      <c r="L116" s="82"/>
      <c r="M116" s="181" t="s">
        <v>156</v>
      </c>
      <c r="N116" s="86"/>
      <c r="O116" s="86"/>
      <c r="P116" s="85"/>
      <c r="Q116" s="181" t="s">
        <v>156</v>
      </c>
      <c r="R116" s="181" t="s">
        <v>156</v>
      </c>
      <c r="S116" s="181" t="s">
        <v>156</v>
      </c>
      <c r="T116" s="82"/>
      <c r="U116" s="25" t="s">
        <v>108</v>
      </c>
      <c r="V116" s="83"/>
      <c r="W116" s="83"/>
      <c r="X116" s="83"/>
      <c r="Y116" s="172">
        <f>16754.1469943914*1.15</f>
        <v>19267.26904355011</v>
      </c>
      <c r="Z116" s="83"/>
      <c r="AB116" s="300"/>
    </row>
    <row r="117" spans="1:28" s="84" customFormat="1" ht="42" x14ac:dyDescent="0.15">
      <c r="A117" s="25" t="s">
        <v>278</v>
      </c>
      <c r="B117" s="26" t="s">
        <v>167</v>
      </c>
      <c r="C117" s="83"/>
      <c r="D117" s="82"/>
      <c r="E117" s="181" t="s">
        <v>156</v>
      </c>
      <c r="F117" s="181" t="s">
        <v>156</v>
      </c>
      <c r="G117" s="181" t="s">
        <v>156</v>
      </c>
      <c r="H117" s="94"/>
      <c r="I117" s="181" t="s">
        <v>156</v>
      </c>
      <c r="J117" s="181" t="s">
        <v>156</v>
      </c>
      <c r="K117" s="181" t="s">
        <v>156</v>
      </c>
      <c r="L117" s="82"/>
      <c r="M117" s="181" t="s">
        <v>156</v>
      </c>
      <c r="N117" s="86"/>
      <c r="O117" s="86"/>
      <c r="P117" s="85"/>
      <c r="Q117" s="181" t="s">
        <v>156</v>
      </c>
      <c r="R117" s="181" t="s">
        <v>156</v>
      </c>
      <c r="S117" s="181" t="s">
        <v>156</v>
      </c>
      <c r="T117" s="82"/>
      <c r="U117" s="25" t="s">
        <v>279</v>
      </c>
      <c r="V117" s="83"/>
      <c r="W117" s="83"/>
      <c r="X117" s="83"/>
      <c r="Y117" s="172">
        <f>5343.33805417123*1.15+4000</f>
        <v>10144.838762296915</v>
      </c>
      <c r="Z117" s="83"/>
    </row>
    <row r="118" spans="1:28" s="84" customFormat="1" ht="70" x14ac:dyDescent="0.15">
      <c r="A118" s="25" t="s">
        <v>121</v>
      </c>
      <c r="B118" s="25" t="s">
        <v>167</v>
      </c>
      <c r="C118" s="83"/>
      <c r="D118" s="82"/>
      <c r="E118" s="181" t="s">
        <v>156</v>
      </c>
      <c r="F118" s="181" t="s">
        <v>156</v>
      </c>
      <c r="G118" s="181" t="s">
        <v>156</v>
      </c>
      <c r="H118" s="94"/>
      <c r="I118" s="181" t="s">
        <v>156</v>
      </c>
      <c r="J118" s="181" t="s">
        <v>156</v>
      </c>
      <c r="K118" s="181" t="s">
        <v>156</v>
      </c>
      <c r="L118" s="82"/>
      <c r="M118" s="181" t="s">
        <v>156</v>
      </c>
      <c r="N118" s="86"/>
      <c r="O118" s="86"/>
      <c r="P118" s="85"/>
      <c r="Q118" s="181" t="s">
        <v>156</v>
      </c>
      <c r="R118" s="181" t="s">
        <v>156</v>
      </c>
      <c r="S118" s="181" t="s">
        <v>156</v>
      </c>
      <c r="T118" s="82"/>
      <c r="U118" s="25" t="s">
        <v>109</v>
      </c>
      <c r="V118" s="83"/>
      <c r="W118" s="83"/>
      <c r="X118" s="83"/>
      <c r="Y118" s="172">
        <f>7470.00184463311*1.15</f>
        <v>8590.5021213280761</v>
      </c>
      <c r="Z118" s="83"/>
    </row>
    <row r="119" spans="1:28" s="84" customFormat="1" ht="97" customHeight="1" x14ac:dyDescent="0.15">
      <c r="A119" s="25" t="s">
        <v>53</v>
      </c>
      <c r="B119" s="25" t="s">
        <v>323</v>
      </c>
      <c r="D119" s="82"/>
      <c r="E119" s="181" t="s">
        <v>156</v>
      </c>
      <c r="F119" s="181" t="s">
        <v>156</v>
      </c>
      <c r="G119" s="181" t="s">
        <v>156</v>
      </c>
      <c r="H119" s="85"/>
      <c r="I119" s="181" t="s">
        <v>156</v>
      </c>
      <c r="J119" s="181" t="s">
        <v>156</v>
      </c>
      <c r="K119" s="181" t="s">
        <v>156</v>
      </c>
      <c r="L119" s="82"/>
      <c r="M119" s="181" t="s">
        <v>156</v>
      </c>
      <c r="N119" s="86"/>
      <c r="O119" s="86"/>
      <c r="P119" s="85"/>
      <c r="Q119" s="181" t="s">
        <v>156</v>
      </c>
      <c r="R119" s="181" t="s">
        <v>156</v>
      </c>
      <c r="S119" s="181" t="s">
        <v>156</v>
      </c>
      <c r="T119" s="82"/>
      <c r="U119" s="25" t="s">
        <v>110</v>
      </c>
      <c r="V119" s="83"/>
      <c r="W119" s="83"/>
      <c r="X119" s="83"/>
      <c r="Y119" s="172">
        <v>10934.1679408863</v>
      </c>
      <c r="Z119" s="83"/>
    </row>
    <row r="120" spans="1:28" s="84" customFormat="1" ht="14" x14ac:dyDescent="0.15">
      <c r="A120" s="37" t="s">
        <v>169</v>
      </c>
      <c r="B120" s="23"/>
      <c r="C120" s="23"/>
      <c r="D120" s="23"/>
      <c r="E120" s="23"/>
      <c r="F120" s="23"/>
      <c r="G120" s="23"/>
      <c r="H120" s="23"/>
      <c r="I120" s="23"/>
      <c r="J120" s="23"/>
      <c r="K120" s="23"/>
      <c r="L120" s="23"/>
      <c r="M120" s="23"/>
      <c r="N120" s="23"/>
      <c r="O120" s="23"/>
      <c r="P120" s="23"/>
      <c r="Q120" s="23"/>
      <c r="R120" s="23"/>
      <c r="S120" s="23"/>
      <c r="T120" s="23"/>
      <c r="U120" s="23"/>
      <c r="V120" s="23"/>
      <c r="W120" s="23"/>
      <c r="X120" s="76"/>
      <c r="Y120" s="92"/>
      <c r="Z120" s="24"/>
    </row>
    <row r="121" spans="1:28" s="84" customFormat="1" ht="28" x14ac:dyDescent="0.15">
      <c r="A121" s="25" t="s">
        <v>237</v>
      </c>
      <c r="B121" s="25" t="s">
        <v>55</v>
      </c>
      <c r="C121" s="83"/>
      <c r="D121" s="82"/>
      <c r="E121" s="115"/>
      <c r="F121" s="83"/>
      <c r="G121" s="181" t="s">
        <v>156</v>
      </c>
      <c r="H121" s="85"/>
      <c r="I121" s="86"/>
      <c r="J121" s="86"/>
      <c r="K121" s="181" t="s">
        <v>156</v>
      </c>
      <c r="L121" s="85"/>
      <c r="M121" s="86"/>
      <c r="N121" s="86"/>
      <c r="O121" s="181" t="s">
        <v>156</v>
      </c>
      <c r="P121" s="85"/>
      <c r="Q121" s="86"/>
      <c r="R121" s="86"/>
      <c r="S121" s="181" t="s">
        <v>156</v>
      </c>
      <c r="T121" s="82"/>
      <c r="U121" s="25" t="s">
        <v>207</v>
      </c>
      <c r="V121" s="83"/>
      <c r="W121" s="83"/>
      <c r="X121" s="83"/>
      <c r="Y121" s="172">
        <v>12765.82</v>
      </c>
      <c r="Z121" s="83"/>
    </row>
    <row r="122" spans="1:28" s="84" customFormat="1" ht="33" customHeight="1" x14ac:dyDescent="0.15">
      <c r="A122" s="36" t="s">
        <v>195</v>
      </c>
      <c r="B122" s="23"/>
      <c r="C122" s="23"/>
      <c r="D122" s="23"/>
      <c r="E122" s="23"/>
      <c r="F122" s="23"/>
      <c r="G122" s="23"/>
      <c r="H122" s="23"/>
      <c r="I122" s="23"/>
      <c r="J122" s="23"/>
      <c r="K122" s="23"/>
      <c r="L122" s="23"/>
      <c r="M122" s="23"/>
      <c r="N122" s="23"/>
      <c r="O122" s="23"/>
      <c r="P122" s="23"/>
      <c r="Q122" s="23"/>
      <c r="R122" s="23"/>
      <c r="S122" s="23"/>
      <c r="T122" s="23"/>
      <c r="U122" s="23"/>
      <c r="V122" s="23"/>
      <c r="W122" s="23"/>
      <c r="X122" s="76"/>
      <c r="Y122" s="92"/>
      <c r="Z122" s="24" t="s">
        <v>129</v>
      </c>
    </row>
    <row r="123" spans="1:28" s="84" customFormat="1" ht="63" customHeight="1" x14ac:dyDescent="0.15">
      <c r="A123" s="25" t="s">
        <v>493</v>
      </c>
      <c r="B123" s="25" t="s">
        <v>444</v>
      </c>
      <c r="C123" s="83"/>
      <c r="D123" s="82"/>
      <c r="E123" s="155"/>
      <c r="F123" s="86"/>
      <c r="G123" s="181" t="s">
        <v>156</v>
      </c>
      <c r="H123" s="85"/>
      <c r="I123" s="86"/>
      <c r="J123" s="86"/>
      <c r="K123" s="181" t="s">
        <v>156</v>
      </c>
      <c r="L123" s="85"/>
      <c r="M123" s="86"/>
      <c r="N123" s="86"/>
      <c r="O123" s="181" t="s">
        <v>156</v>
      </c>
      <c r="P123" s="85"/>
      <c r="Q123" s="86"/>
      <c r="R123" s="86"/>
      <c r="S123" s="181" t="s">
        <v>156</v>
      </c>
      <c r="T123" s="82"/>
      <c r="U123" s="25" t="s">
        <v>209</v>
      </c>
      <c r="V123" s="83"/>
      <c r="W123" s="83"/>
      <c r="X123" s="83"/>
      <c r="Y123" s="172">
        <v>4382.91</v>
      </c>
      <c r="Z123" s="83"/>
    </row>
    <row r="124" spans="1:28" s="84" customFormat="1" x14ac:dyDescent="0.15">
      <c r="A124" s="142" t="s">
        <v>56</v>
      </c>
      <c r="B124" s="107"/>
      <c r="C124" s="20"/>
      <c r="D124" s="20"/>
      <c r="E124" s="20"/>
      <c r="F124" s="20"/>
      <c r="G124" s="20"/>
      <c r="H124" s="20"/>
      <c r="I124" s="20"/>
      <c r="J124" s="20"/>
      <c r="K124" s="20"/>
      <c r="L124" s="20"/>
      <c r="M124" s="20"/>
      <c r="N124" s="20"/>
      <c r="O124" s="20"/>
      <c r="P124" s="20"/>
      <c r="Q124" s="20"/>
      <c r="R124" s="20"/>
      <c r="S124" s="20"/>
      <c r="T124" s="20"/>
      <c r="U124" s="20"/>
      <c r="V124" s="20"/>
      <c r="W124" s="20"/>
      <c r="X124" s="108"/>
      <c r="Y124" s="108"/>
      <c r="Z124" s="110"/>
    </row>
    <row r="125" spans="1:28" s="78" customFormat="1" ht="28" x14ac:dyDescent="0.15">
      <c r="A125" s="36" t="s">
        <v>57</v>
      </c>
      <c r="B125" s="23"/>
      <c r="C125" s="23"/>
      <c r="D125" s="23"/>
      <c r="E125" s="23"/>
      <c r="F125" s="23"/>
      <c r="G125" s="23"/>
      <c r="H125" s="23"/>
      <c r="I125" s="23"/>
      <c r="J125" s="23"/>
      <c r="K125" s="23"/>
      <c r="L125" s="23"/>
      <c r="M125" s="23"/>
      <c r="N125" s="23"/>
      <c r="O125" s="23"/>
      <c r="P125" s="23"/>
      <c r="Q125" s="23"/>
      <c r="R125" s="23"/>
      <c r="S125" s="23"/>
      <c r="T125" s="23"/>
      <c r="U125" s="23"/>
      <c r="V125" s="23"/>
      <c r="W125" s="23"/>
      <c r="X125" s="76"/>
      <c r="Y125" s="92"/>
      <c r="Z125" s="24" t="s">
        <v>128</v>
      </c>
    </row>
    <row r="126" spans="1:28" s="84" customFormat="1" ht="67" customHeight="1" x14ac:dyDescent="0.15">
      <c r="A126" s="148" t="s">
        <v>58</v>
      </c>
      <c r="B126" s="25" t="s">
        <v>125</v>
      </c>
      <c r="C126" s="83"/>
      <c r="D126" s="82"/>
      <c r="E126" s="181" t="s">
        <v>156</v>
      </c>
      <c r="F126" s="81"/>
      <c r="G126" s="81"/>
      <c r="H126" s="94"/>
      <c r="I126" s="81"/>
      <c r="J126" s="181" t="s">
        <v>156</v>
      </c>
      <c r="K126" s="144"/>
      <c r="L126" s="85"/>
      <c r="M126" s="86"/>
      <c r="N126" s="86"/>
      <c r="O126" s="86"/>
      <c r="P126" s="85"/>
      <c r="Q126" s="86"/>
      <c r="R126" s="181" t="s">
        <v>156</v>
      </c>
      <c r="S126" s="144"/>
      <c r="T126" s="82"/>
      <c r="U126" s="25" t="s">
        <v>170</v>
      </c>
      <c r="V126" s="83"/>
      <c r="W126" s="172"/>
      <c r="X126" s="83"/>
      <c r="Y126" s="172">
        <v>1419.3659035577</v>
      </c>
      <c r="Z126" s="116"/>
    </row>
    <row r="127" spans="1:28" s="84" customFormat="1" ht="28" x14ac:dyDescent="0.15">
      <c r="A127" s="148" t="s">
        <v>62</v>
      </c>
      <c r="B127" s="25" t="s">
        <v>125</v>
      </c>
      <c r="C127" s="83"/>
      <c r="D127" s="82"/>
      <c r="E127" s="181" t="s">
        <v>156</v>
      </c>
      <c r="F127" s="83"/>
      <c r="G127" s="83"/>
      <c r="H127" s="82"/>
      <c r="I127" s="83"/>
      <c r="J127" s="181" t="s">
        <v>156</v>
      </c>
      <c r="K127" s="144"/>
      <c r="L127" s="82"/>
      <c r="M127" s="83"/>
      <c r="N127" s="83"/>
      <c r="O127" s="83"/>
      <c r="P127" s="82"/>
      <c r="Q127" s="83"/>
      <c r="R127" s="181" t="s">
        <v>156</v>
      </c>
      <c r="S127" s="144"/>
      <c r="T127" s="82"/>
      <c r="U127" s="25" t="s">
        <v>111</v>
      </c>
      <c r="V127" s="83"/>
      <c r="W127" s="172"/>
      <c r="X127" s="83"/>
      <c r="Y127" s="172">
        <f>1097.63292410935*1.15</f>
        <v>1262.2778627257524</v>
      </c>
      <c r="Z127" s="116"/>
    </row>
    <row r="128" spans="1:28" s="84" customFormat="1" ht="28" x14ac:dyDescent="0.15">
      <c r="A128" s="149" t="s">
        <v>59</v>
      </c>
      <c r="B128" s="23"/>
      <c r="C128" s="23"/>
      <c r="D128" s="23"/>
      <c r="E128" s="23"/>
      <c r="F128" s="23"/>
      <c r="G128" s="23"/>
      <c r="H128" s="23"/>
      <c r="I128" s="23"/>
      <c r="J128" s="23"/>
      <c r="K128" s="23"/>
      <c r="L128" s="23"/>
      <c r="M128" s="23"/>
      <c r="N128" s="23"/>
      <c r="O128" s="23"/>
      <c r="P128" s="23"/>
      <c r="Q128" s="23"/>
      <c r="R128" s="23"/>
      <c r="S128" s="23"/>
      <c r="T128" s="23"/>
      <c r="U128" s="23"/>
      <c r="V128" s="23"/>
      <c r="W128" s="23"/>
      <c r="X128" s="76"/>
      <c r="Y128" s="92"/>
      <c r="Z128" s="24" t="s">
        <v>171</v>
      </c>
    </row>
    <row r="129" spans="1:191" s="84" customFormat="1" ht="41" customHeight="1" x14ac:dyDescent="0.15">
      <c r="A129" s="25" t="s">
        <v>60</v>
      </c>
      <c r="B129" s="25" t="s">
        <v>141</v>
      </c>
      <c r="C129" s="83"/>
      <c r="D129" s="82"/>
      <c r="E129" s="83"/>
      <c r="F129" s="83"/>
      <c r="G129" s="83"/>
      <c r="H129" s="82"/>
      <c r="I129" s="83"/>
      <c r="J129" s="181" t="s">
        <v>156</v>
      </c>
      <c r="K129" s="83"/>
      <c r="L129" s="82"/>
      <c r="M129" s="83"/>
      <c r="N129" s="83"/>
      <c r="O129" s="83"/>
      <c r="P129" s="82"/>
      <c r="Q129" s="83"/>
      <c r="R129" s="181" t="s">
        <v>156</v>
      </c>
      <c r="S129" s="144"/>
      <c r="T129" s="82"/>
      <c r="U129" s="25" t="s">
        <v>112</v>
      </c>
      <c r="V129" s="83"/>
      <c r="X129" s="83"/>
      <c r="Y129" s="172">
        <f>3170.93955853814*1.15</f>
        <v>3646.5804923188607</v>
      </c>
      <c r="Z129" s="83"/>
    </row>
    <row r="130" spans="1:191" s="84" customFormat="1" ht="36" customHeight="1" x14ac:dyDescent="0.15">
      <c r="A130" s="45" t="s">
        <v>61</v>
      </c>
      <c r="B130" s="25" t="s">
        <v>140</v>
      </c>
      <c r="C130" s="83"/>
      <c r="D130" s="82"/>
      <c r="E130" s="83"/>
      <c r="F130" s="83"/>
      <c r="G130" s="83"/>
      <c r="H130" s="82"/>
      <c r="I130" s="83"/>
      <c r="J130" s="181" t="s">
        <v>156</v>
      </c>
      <c r="K130" s="83"/>
      <c r="L130" s="82"/>
      <c r="M130" s="83"/>
      <c r="N130" s="83"/>
      <c r="O130" s="83"/>
      <c r="P130" s="82"/>
      <c r="Q130" s="83"/>
      <c r="R130" s="181" t="s">
        <v>156</v>
      </c>
      <c r="S130" s="144"/>
      <c r="T130" s="82"/>
      <c r="U130" s="26" t="s">
        <v>113</v>
      </c>
      <c r="V130" s="83"/>
      <c r="W130" s="83"/>
      <c r="X130" s="83"/>
      <c r="Y130" s="172">
        <f>2103.79643787626*1.15</f>
        <v>2419.3659035576989</v>
      </c>
      <c r="Z130" s="83"/>
    </row>
    <row r="131" spans="1:191" s="84" customFormat="1" ht="28" x14ac:dyDescent="0.15">
      <c r="A131" s="149" t="s">
        <v>122</v>
      </c>
      <c r="B131" s="23"/>
      <c r="C131" s="23"/>
      <c r="D131" s="23"/>
      <c r="E131" s="23"/>
      <c r="F131" s="23"/>
      <c r="G131" s="23"/>
      <c r="H131" s="23"/>
      <c r="I131" s="23"/>
      <c r="J131" s="23"/>
      <c r="K131" s="23"/>
      <c r="L131" s="23"/>
      <c r="M131" s="23"/>
      <c r="N131" s="23"/>
      <c r="O131" s="23"/>
      <c r="P131" s="23"/>
      <c r="Q131" s="23"/>
      <c r="R131" s="23"/>
      <c r="S131" s="23"/>
      <c r="T131" s="23"/>
      <c r="U131" s="23"/>
      <c r="V131" s="23"/>
      <c r="W131" s="23"/>
      <c r="X131" s="76"/>
      <c r="Y131" s="92"/>
      <c r="Z131" s="24" t="s">
        <v>172</v>
      </c>
    </row>
    <row r="132" spans="1:191" s="84" customFormat="1" ht="16" x14ac:dyDescent="0.15">
      <c r="A132" s="25" t="s">
        <v>243</v>
      </c>
      <c r="B132" s="79"/>
      <c r="C132" s="83"/>
      <c r="D132" s="82"/>
      <c r="E132" s="155"/>
      <c r="F132" s="181" t="s">
        <v>156</v>
      </c>
      <c r="G132" s="181" t="s">
        <v>156</v>
      </c>
      <c r="H132" s="105"/>
      <c r="I132" s="181" t="s">
        <v>156</v>
      </c>
      <c r="J132" s="181" t="s">
        <v>156</v>
      </c>
      <c r="K132" s="181" t="s">
        <v>156</v>
      </c>
      <c r="L132" s="105"/>
      <c r="M132" s="181" t="s">
        <v>156</v>
      </c>
      <c r="N132" s="181" t="s">
        <v>156</v>
      </c>
      <c r="O132" s="181" t="s">
        <v>156</v>
      </c>
      <c r="P132" s="82"/>
      <c r="Q132" s="181" t="s">
        <v>156</v>
      </c>
      <c r="R132" s="181" t="s">
        <v>156</v>
      </c>
      <c r="S132" s="181" t="s">
        <v>156</v>
      </c>
      <c r="T132" s="82"/>
      <c r="U132" s="25" t="s">
        <v>114</v>
      </c>
      <c r="V132" s="83"/>
      <c r="W132" s="172"/>
      <c r="X132" s="172"/>
      <c r="Y132" s="172">
        <f>36587.7641369785*1.15</f>
        <v>42075.928757525267</v>
      </c>
      <c r="Z132" s="83"/>
      <c r="AB132" s="216"/>
      <c r="AC132" s="216"/>
      <c r="BM132" s="216"/>
      <c r="BT132" s="216"/>
      <c r="CA132" s="216"/>
      <c r="CH132" s="216"/>
      <c r="CO132" s="216"/>
      <c r="CV132" s="216"/>
      <c r="DC132" s="216"/>
      <c r="DJ132" s="216"/>
      <c r="DQ132" s="216"/>
      <c r="DX132" s="216"/>
      <c r="EE132" s="216"/>
      <c r="EL132" s="216"/>
      <c r="ES132" s="216"/>
      <c r="EZ132" s="216"/>
      <c r="FG132" s="216"/>
      <c r="FN132" s="216"/>
      <c r="FU132" s="216"/>
      <c r="GB132" s="216"/>
      <c r="GI132" s="216"/>
    </row>
    <row r="133" spans="1:191" s="84" customFormat="1" ht="23" customHeight="1" x14ac:dyDescent="0.15">
      <c r="A133" s="36" t="s">
        <v>196</v>
      </c>
      <c r="B133" s="209"/>
      <c r="C133" s="23"/>
      <c r="D133" s="23"/>
      <c r="E133" s="23"/>
      <c r="F133" s="23"/>
      <c r="G133" s="23"/>
      <c r="H133" s="23"/>
      <c r="I133" s="23"/>
      <c r="J133" s="23"/>
      <c r="K133" s="23"/>
      <c r="L133" s="23"/>
      <c r="M133" s="23"/>
      <c r="N133" s="23"/>
      <c r="O133" s="23"/>
      <c r="P133" s="23"/>
      <c r="Q133" s="23"/>
      <c r="R133" s="23"/>
      <c r="S133" s="23"/>
      <c r="T133" s="23"/>
      <c r="U133" s="23"/>
      <c r="V133" s="23"/>
      <c r="W133" s="23"/>
      <c r="X133" s="76"/>
      <c r="Y133" s="76"/>
      <c r="Z133" s="24" t="s">
        <v>199</v>
      </c>
    </row>
    <row r="134" spans="1:191" s="84" customFormat="1" ht="28" x14ac:dyDescent="0.15">
      <c r="A134" s="281" t="s">
        <v>280</v>
      </c>
      <c r="B134" s="281" t="s">
        <v>340</v>
      </c>
      <c r="C134" s="91"/>
      <c r="D134" s="82"/>
      <c r="E134" s="83"/>
      <c r="F134" s="83"/>
      <c r="G134" s="284" t="s">
        <v>156</v>
      </c>
      <c r="H134" s="82"/>
      <c r="I134" s="286"/>
      <c r="J134" s="286"/>
      <c r="K134" s="100"/>
      <c r="L134" s="101"/>
      <c r="M134" s="287"/>
      <c r="N134" s="286"/>
      <c r="O134" s="83"/>
      <c r="P134" s="82"/>
      <c r="Q134" s="83"/>
      <c r="R134" s="83"/>
      <c r="S134" s="83"/>
      <c r="T134" s="82"/>
      <c r="U134" s="25"/>
      <c r="V134" s="83"/>
      <c r="W134" s="172">
        <v>55570.940170940172</v>
      </c>
      <c r="X134" s="83"/>
      <c r="Y134" s="83"/>
      <c r="Z134" s="83"/>
    </row>
    <row r="135" spans="1:191" s="84" customFormat="1" ht="70" x14ac:dyDescent="0.15">
      <c r="A135" s="140" t="s">
        <v>423</v>
      </c>
      <c r="B135" s="25" t="s">
        <v>424</v>
      </c>
      <c r="C135" s="91"/>
      <c r="D135" s="82"/>
      <c r="E135" s="83"/>
      <c r="F135" s="83"/>
      <c r="G135" s="144"/>
      <c r="H135" s="82"/>
      <c r="I135" s="181" t="s">
        <v>156</v>
      </c>
      <c r="J135" s="181" t="s">
        <v>156</v>
      </c>
      <c r="K135" s="95"/>
      <c r="L135" s="96"/>
      <c r="M135" s="97"/>
      <c r="N135" s="144"/>
      <c r="O135" s="83"/>
      <c r="P135" s="82"/>
      <c r="Q135" s="83"/>
      <c r="R135" s="83"/>
      <c r="S135" s="83"/>
      <c r="T135" s="82"/>
      <c r="U135" s="25" t="s">
        <v>200</v>
      </c>
      <c r="V135" s="83"/>
      <c r="W135" s="172">
        <v>150000</v>
      </c>
      <c r="X135" s="83"/>
      <c r="Y135" s="83"/>
      <c r="Z135" s="83"/>
    </row>
    <row r="136" spans="1:191" s="84" customFormat="1" ht="42" x14ac:dyDescent="0.15">
      <c r="A136" s="140" t="s">
        <v>503</v>
      </c>
      <c r="B136" s="210" t="s">
        <v>425</v>
      </c>
      <c r="C136" s="83"/>
      <c r="D136" s="82"/>
      <c r="E136" s="83"/>
      <c r="F136" s="83"/>
      <c r="G136" s="83"/>
      <c r="H136" s="82"/>
      <c r="I136" s="181" t="s">
        <v>156</v>
      </c>
      <c r="J136" s="144"/>
      <c r="K136" s="100"/>
      <c r="L136" s="101"/>
      <c r="M136" s="100"/>
      <c r="N136" s="83"/>
      <c r="O136" s="83"/>
      <c r="P136" s="82"/>
      <c r="Q136" s="83"/>
      <c r="R136" s="83"/>
      <c r="S136" s="83"/>
      <c r="T136" s="82"/>
      <c r="U136" s="45" t="s">
        <v>426</v>
      </c>
      <c r="V136" s="83"/>
      <c r="W136" s="172">
        <f>18293.8820684892*1.15</f>
        <v>21037.964378762579</v>
      </c>
      <c r="X136" s="155"/>
      <c r="Y136" s="83"/>
      <c r="Z136" s="83"/>
    </row>
    <row r="137" spans="1:191" s="84" customFormat="1" ht="28" x14ac:dyDescent="0.15">
      <c r="A137" s="36" t="s">
        <v>173</v>
      </c>
      <c r="B137" s="23"/>
      <c r="C137" s="23"/>
      <c r="D137" s="23"/>
      <c r="E137" s="23"/>
      <c r="F137" s="23"/>
      <c r="G137" s="23"/>
      <c r="H137" s="23"/>
      <c r="I137" s="23"/>
      <c r="J137" s="23"/>
      <c r="K137" s="23"/>
      <c r="L137" s="23"/>
      <c r="M137" s="23"/>
      <c r="N137" s="23"/>
      <c r="O137" s="23"/>
      <c r="P137" s="23"/>
      <c r="Q137" s="23"/>
      <c r="R137" s="23"/>
      <c r="S137" s="23"/>
      <c r="T137" s="23"/>
      <c r="U137" s="23"/>
      <c r="V137" s="23"/>
      <c r="W137" s="76"/>
      <c r="X137" s="76"/>
      <c r="Y137" s="92"/>
      <c r="Z137" s="24" t="s">
        <v>199</v>
      </c>
    </row>
    <row r="138" spans="1:191" s="84" customFormat="1" ht="42" x14ac:dyDescent="0.15">
      <c r="A138" s="141" t="s">
        <v>224</v>
      </c>
      <c r="B138" s="25" t="s">
        <v>281</v>
      </c>
      <c r="C138" s="83"/>
      <c r="D138" s="82"/>
      <c r="E138" s="181" t="s">
        <v>156</v>
      </c>
      <c r="F138" s="181" t="s">
        <v>156</v>
      </c>
      <c r="G138" s="181" t="s">
        <v>156</v>
      </c>
      <c r="H138" s="94"/>
      <c r="I138" s="181" t="s">
        <v>156</v>
      </c>
      <c r="J138" s="181" t="s">
        <v>156</v>
      </c>
      <c r="K138" s="181" t="s">
        <v>156</v>
      </c>
      <c r="L138" s="94"/>
      <c r="M138" s="181" t="s">
        <v>156</v>
      </c>
      <c r="N138" s="181" t="s">
        <v>156</v>
      </c>
      <c r="O138" s="181" t="s">
        <v>156</v>
      </c>
      <c r="P138" s="94"/>
      <c r="Q138" s="181" t="s">
        <v>156</v>
      </c>
      <c r="R138" s="181" t="s">
        <v>156</v>
      </c>
      <c r="S138" s="181" t="s">
        <v>156</v>
      </c>
      <c r="T138" s="82"/>
      <c r="U138" s="25" t="s">
        <v>201</v>
      </c>
      <c r="V138" s="79"/>
      <c r="W138" s="172">
        <f>73682.77*1.15</f>
        <v>84735.185499999992</v>
      </c>
      <c r="X138" s="86"/>
      <c r="Y138" s="86"/>
      <c r="Z138" s="117"/>
    </row>
    <row r="139" spans="1:191" s="84" customFormat="1" ht="14" x14ac:dyDescent="0.15">
      <c r="A139" s="36" t="s">
        <v>174</v>
      </c>
      <c r="B139" s="23"/>
      <c r="C139" s="23"/>
      <c r="D139" s="23"/>
      <c r="E139" s="23"/>
      <c r="F139" s="23"/>
      <c r="G139" s="23"/>
      <c r="H139" s="23"/>
      <c r="I139" s="23"/>
      <c r="J139" s="23"/>
      <c r="K139" s="23"/>
      <c r="L139" s="23"/>
      <c r="M139" s="23"/>
      <c r="N139" s="23"/>
      <c r="O139" s="23"/>
      <c r="P139" s="23"/>
      <c r="Q139" s="23"/>
      <c r="R139" s="23"/>
      <c r="S139" s="23"/>
      <c r="T139" s="23"/>
      <c r="U139" s="23"/>
      <c r="V139" s="23"/>
      <c r="W139" s="212"/>
      <c r="X139" s="76"/>
      <c r="Y139" s="92"/>
      <c r="Z139" s="24" t="s">
        <v>138</v>
      </c>
    </row>
    <row r="140" spans="1:191" s="84" customFormat="1" ht="50" customHeight="1" x14ac:dyDescent="0.15">
      <c r="A140" s="25" t="s">
        <v>175</v>
      </c>
      <c r="B140" s="25" t="s">
        <v>377</v>
      </c>
      <c r="C140" s="83"/>
      <c r="D140" s="85"/>
      <c r="E140" s="86"/>
      <c r="F140" s="86"/>
      <c r="G140" s="86"/>
      <c r="H140" s="85"/>
      <c r="I140" s="181" t="s">
        <v>156</v>
      </c>
      <c r="J140" s="86"/>
      <c r="K140" s="86"/>
      <c r="L140" s="85"/>
      <c r="M140" s="86"/>
      <c r="N140" s="86"/>
      <c r="O140" s="86"/>
      <c r="P140" s="85"/>
      <c r="Q140" s="86"/>
      <c r="R140" s="86"/>
      <c r="S140" s="86"/>
      <c r="T140" s="85"/>
      <c r="U140" s="26" t="s">
        <v>115</v>
      </c>
      <c r="V140" s="86"/>
      <c r="W140" s="172">
        <f>15183.9221168461*1.15</f>
        <v>17461.510434373016</v>
      </c>
      <c r="X140" s="155"/>
      <c r="Y140" s="86"/>
      <c r="Z140" s="86"/>
    </row>
    <row r="141" spans="1:191" s="87" customFormat="1" ht="42" x14ac:dyDescent="0.2">
      <c r="A141" s="25" t="s">
        <v>176</v>
      </c>
      <c r="B141" s="25" t="s">
        <v>377</v>
      </c>
      <c r="C141" s="86"/>
      <c r="D141" s="85"/>
      <c r="E141" s="86"/>
      <c r="F141" s="86"/>
      <c r="G141" s="86"/>
      <c r="H141" s="85"/>
      <c r="I141" s="181" t="s">
        <v>156</v>
      </c>
      <c r="J141" s="86"/>
      <c r="K141" s="86"/>
      <c r="L141" s="85"/>
      <c r="M141" s="86"/>
      <c r="N141" s="86"/>
      <c r="O141" s="86"/>
      <c r="P141" s="85"/>
      <c r="Q141" s="86"/>
      <c r="R141" s="86"/>
      <c r="S141" s="86"/>
      <c r="T141" s="85"/>
      <c r="U141" s="25" t="s">
        <v>210</v>
      </c>
      <c r="V141" s="86"/>
      <c r="W141" s="172">
        <f>(11982.4927548605+2744.08+4664.94)*1.15</f>
        <v>22300.239668089569</v>
      </c>
      <c r="X141" s="155"/>
      <c r="Y141" s="86"/>
      <c r="Z141" s="86"/>
    </row>
    <row r="142" spans="1:191" s="87" customFormat="1" ht="66" customHeight="1" x14ac:dyDescent="0.2">
      <c r="A142" s="25" t="s">
        <v>197</v>
      </c>
      <c r="B142" s="25" t="s">
        <v>387</v>
      </c>
      <c r="C142" s="86"/>
      <c r="D142" s="85"/>
      <c r="E142" s="86"/>
      <c r="F142" s="86"/>
      <c r="G142" s="86"/>
      <c r="H142" s="85"/>
      <c r="I142" s="181" t="s">
        <v>156</v>
      </c>
      <c r="J142" s="86"/>
      <c r="K142" s="86"/>
      <c r="L142" s="85"/>
      <c r="M142" s="86"/>
      <c r="N142" s="86"/>
      <c r="O142" s="86"/>
      <c r="P142" s="85"/>
      <c r="Q142" s="86"/>
      <c r="R142" s="86"/>
      <c r="S142" s="86"/>
      <c r="T142" s="85"/>
      <c r="U142" s="25" t="s">
        <v>116</v>
      </c>
      <c r="V142" s="86"/>
      <c r="W142" s="172">
        <f>21293.88*1.15</f>
        <v>24487.962</v>
      </c>
      <c r="X142" s="155"/>
      <c r="Y142" s="86"/>
      <c r="Z142" s="86"/>
    </row>
    <row r="143" spans="1:191" s="84" customFormat="1" ht="28" x14ac:dyDescent="0.15">
      <c r="A143" s="25" t="s">
        <v>325</v>
      </c>
      <c r="B143" s="25" t="s">
        <v>387</v>
      </c>
      <c r="C143" s="86"/>
      <c r="D143" s="82"/>
      <c r="E143" s="83"/>
      <c r="F143" s="83"/>
      <c r="G143" s="83"/>
      <c r="H143" s="82"/>
      <c r="I143" s="181" t="s">
        <v>156</v>
      </c>
      <c r="J143" s="83"/>
      <c r="K143" s="83"/>
      <c r="L143" s="82"/>
      <c r="M143" s="83"/>
      <c r="N143" s="83"/>
      <c r="O143" s="83"/>
      <c r="P143" s="82"/>
      <c r="Q143" s="83"/>
      <c r="R143" s="83"/>
      <c r="S143" s="83"/>
      <c r="T143" s="82"/>
      <c r="U143" s="25" t="s">
        <v>211</v>
      </c>
      <c r="V143" s="83"/>
      <c r="W143" s="172">
        <f>5259.49109469066*1.15</f>
        <v>6048.4147588942587</v>
      </c>
      <c r="X143" s="155"/>
      <c r="Y143" s="83"/>
      <c r="Z143" s="83"/>
    </row>
    <row r="144" spans="1:191" s="84" customFormat="1" ht="28" x14ac:dyDescent="0.15">
      <c r="A144" s="25" t="s">
        <v>324</v>
      </c>
      <c r="B144" s="25" t="s">
        <v>387</v>
      </c>
      <c r="C144" s="83"/>
      <c r="D144" s="82"/>
      <c r="E144" s="83"/>
      <c r="F144" s="83"/>
      <c r="G144" s="83"/>
      <c r="H144" s="82"/>
      <c r="I144" s="181" t="s">
        <v>156</v>
      </c>
      <c r="J144" s="83"/>
      <c r="K144" s="83"/>
      <c r="L144" s="82"/>
      <c r="M144" s="83"/>
      <c r="N144" s="83"/>
      <c r="O144" s="83"/>
      <c r="P144" s="82"/>
      <c r="Q144" s="83"/>
      <c r="R144" s="83"/>
      <c r="S144" s="83"/>
      <c r="T144" s="82"/>
      <c r="U144" s="25" t="s">
        <v>212</v>
      </c>
      <c r="V144" s="83"/>
      <c r="W144" s="172">
        <v>10186.386324786325</v>
      </c>
      <c r="X144" s="156"/>
      <c r="Y144" s="83"/>
      <c r="Z144" s="83"/>
    </row>
    <row r="145" spans="1:191" s="84" customFormat="1" ht="42" x14ac:dyDescent="0.15">
      <c r="A145" s="25" t="s">
        <v>494</v>
      </c>
      <c r="B145" s="79" t="s">
        <v>378</v>
      </c>
      <c r="C145" s="83"/>
      <c r="D145" s="82"/>
      <c r="E145" s="83"/>
      <c r="F145" s="83"/>
      <c r="G145" s="83"/>
      <c r="H145" s="82"/>
      <c r="I145" s="181" t="s">
        <v>156</v>
      </c>
      <c r="J145" s="83"/>
      <c r="K145" s="83"/>
      <c r="L145" s="82"/>
      <c r="M145" s="83"/>
      <c r="N145" s="181" t="s">
        <v>156</v>
      </c>
      <c r="O145" s="83"/>
      <c r="P145" s="82"/>
      <c r="Q145" s="181" t="s">
        <v>156</v>
      </c>
      <c r="R145" s="83"/>
      <c r="S145" s="83"/>
      <c r="T145" s="82"/>
      <c r="U145" s="25" t="s">
        <v>213</v>
      </c>
      <c r="V145" s="83"/>
      <c r="X145" s="155"/>
      <c r="Y145" s="172">
        <v>6102.5641025640998</v>
      </c>
      <c r="Z145" s="83"/>
      <c r="AB145" s="292"/>
    </row>
    <row r="146" spans="1:191" s="84" customFormat="1" ht="25" customHeight="1" x14ac:dyDescent="0.15">
      <c r="A146" s="141" t="s">
        <v>283</v>
      </c>
      <c r="B146" s="80"/>
      <c r="C146" s="83"/>
      <c r="D146" s="82"/>
      <c r="E146" s="83"/>
      <c r="F146" s="83"/>
      <c r="G146" s="83"/>
      <c r="H146" s="82"/>
      <c r="I146" s="88"/>
      <c r="J146" s="83"/>
      <c r="K146" s="83"/>
      <c r="L146" s="82"/>
      <c r="M146" s="83"/>
      <c r="N146" s="83"/>
      <c r="O146" s="83"/>
      <c r="P146" s="82"/>
      <c r="Q146" s="83"/>
      <c r="R146" s="83"/>
      <c r="S146" s="83"/>
      <c r="T146" s="82"/>
      <c r="U146" s="141" t="s">
        <v>214</v>
      </c>
      <c r="V146" s="83"/>
      <c r="W146" s="172">
        <f>533.571560330936*1.15</f>
        <v>613.60729438057638</v>
      </c>
      <c r="X146" s="83"/>
      <c r="Z146" s="83"/>
    </row>
    <row r="147" spans="1:191" s="98" customFormat="1" ht="36" customHeight="1" x14ac:dyDescent="0.15">
      <c r="A147" s="45" t="s">
        <v>284</v>
      </c>
      <c r="B147" s="45" t="s">
        <v>238</v>
      </c>
      <c r="C147" s="103"/>
      <c r="D147" s="82"/>
      <c r="E147" s="103"/>
      <c r="F147" s="103"/>
      <c r="G147" s="181" t="s">
        <v>156</v>
      </c>
      <c r="H147" s="82"/>
      <c r="I147" s="104"/>
      <c r="J147" s="103"/>
      <c r="K147" s="181" t="s">
        <v>156</v>
      </c>
      <c r="L147" s="82"/>
      <c r="M147" s="104"/>
      <c r="N147" s="104"/>
      <c r="O147" s="181" t="s">
        <v>156</v>
      </c>
      <c r="P147" s="82"/>
      <c r="Q147" s="104"/>
      <c r="R147" s="104"/>
      <c r="S147" s="181" t="s">
        <v>156</v>
      </c>
      <c r="T147" s="82"/>
      <c r="U147" s="45" t="s">
        <v>239</v>
      </c>
      <c r="V147" s="103"/>
      <c r="W147" s="172">
        <f>3*1829.39*1.15</f>
        <v>6311.3954999999996</v>
      </c>
      <c r="X147" s="103"/>
      <c r="Y147" s="103"/>
      <c r="Z147" s="103"/>
    </row>
    <row r="148" spans="1:191" s="98" customFormat="1" ht="42" x14ac:dyDescent="0.15">
      <c r="A148" s="45" t="s">
        <v>285</v>
      </c>
      <c r="B148" s="102" t="s">
        <v>379</v>
      </c>
      <c r="C148" s="103"/>
      <c r="D148" s="82"/>
      <c r="E148" s="181" t="s">
        <v>156</v>
      </c>
      <c r="F148" s="181" t="s">
        <v>156</v>
      </c>
      <c r="G148" s="181" t="s">
        <v>156</v>
      </c>
      <c r="H148" s="82"/>
      <c r="I148" s="181" t="s">
        <v>156</v>
      </c>
      <c r="J148" s="181" t="s">
        <v>156</v>
      </c>
      <c r="K148" s="181" t="s">
        <v>156</v>
      </c>
      <c r="L148" s="82"/>
      <c r="M148" s="181" t="s">
        <v>156</v>
      </c>
      <c r="N148" s="181" t="s">
        <v>156</v>
      </c>
      <c r="O148" s="181" t="s">
        <v>156</v>
      </c>
      <c r="P148" s="82"/>
      <c r="Q148" s="181" t="s">
        <v>156</v>
      </c>
      <c r="R148" s="181" t="s">
        <v>156</v>
      </c>
      <c r="S148" s="181" t="s">
        <v>156</v>
      </c>
      <c r="T148" s="82"/>
      <c r="U148" s="45" t="s">
        <v>215</v>
      </c>
      <c r="V148" s="45"/>
      <c r="X148" s="103"/>
      <c r="Y148" s="172">
        <v>3259.4904999999999</v>
      </c>
      <c r="Z148" s="103"/>
    </row>
    <row r="149" spans="1:191" s="98" customFormat="1" ht="26" x14ac:dyDescent="0.15">
      <c r="A149" s="45" t="s">
        <v>450</v>
      </c>
      <c r="B149" s="102" t="s">
        <v>451</v>
      </c>
      <c r="C149" s="103"/>
      <c r="D149" s="82"/>
      <c r="E149" s="181" t="s">
        <v>156</v>
      </c>
      <c r="F149" s="181" t="s">
        <v>156</v>
      </c>
      <c r="G149" s="181" t="s">
        <v>156</v>
      </c>
      <c r="H149" s="82"/>
      <c r="I149" s="181" t="s">
        <v>156</v>
      </c>
      <c r="J149" s="181" t="s">
        <v>156</v>
      </c>
      <c r="K149" s="181" t="s">
        <v>156</v>
      </c>
      <c r="L149" s="82"/>
      <c r="M149" s="181" t="s">
        <v>156</v>
      </c>
      <c r="N149" s="181" t="s">
        <v>156</v>
      </c>
      <c r="O149" s="181" t="s">
        <v>156</v>
      </c>
      <c r="P149" s="82"/>
      <c r="Q149" s="181" t="s">
        <v>156</v>
      </c>
      <c r="R149" s="181" t="s">
        <v>156</v>
      </c>
      <c r="S149" s="181" t="s">
        <v>156</v>
      </c>
      <c r="T149" s="82"/>
      <c r="U149" s="45"/>
      <c r="V149" s="45"/>
      <c r="W149" s="172">
        <v>1709.4017094017095</v>
      </c>
      <c r="X149" s="103"/>
      <c r="Y149" s="103"/>
      <c r="Z149" s="103"/>
    </row>
    <row r="150" spans="1:191" s="84" customFormat="1" ht="38" customHeight="1" x14ac:dyDescent="0.15">
      <c r="A150" s="36" t="s">
        <v>437</v>
      </c>
      <c r="B150" s="23"/>
      <c r="C150" s="23"/>
      <c r="D150" s="23"/>
      <c r="E150" s="23"/>
      <c r="F150" s="23"/>
      <c r="G150" s="23"/>
      <c r="H150" s="23"/>
      <c r="I150" s="23"/>
      <c r="J150" s="23"/>
      <c r="K150" s="23"/>
      <c r="L150" s="23"/>
      <c r="M150" s="23"/>
      <c r="N150" s="23"/>
      <c r="O150" s="23"/>
      <c r="P150" s="23"/>
      <c r="Q150" s="23"/>
      <c r="R150" s="23"/>
      <c r="S150" s="23"/>
      <c r="T150" s="23"/>
      <c r="U150" s="23"/>
      <c r="V150" s="23"/>
      <c r="W150" s="23"/>
      <c r="X150" s="76"/>
      <c r="Y150" s="92"/>
      <c r="Z150" s="161" t="s">
        <v>241</v>
      </c>
    </row>
    <row r="151" spans="1:191" s="84" customFormat="1" ht="94" customHeight="1" x14ac:dyDescent="0.15">
      <c r="A151" s="141" t="s">
        <v>343</v>
      </c>
      <c r="B151" s="80" t="s">
        <v>506</v>
      </c>
      <c r="C151" s="103"/>
      <c r="D151" s="82"/>
      <c r="E151" s="83"/>
      <c r="F151" s="83"/>
      <c r="G151" s="181" t="s">
        <v>156</v>
      </c>
      <c r="H151" s="82"/>
      <c r="I151" s="83"/>
      <c r="J151" s="83"/>
      <c r="K151" s="83"/>
      <c r="L151" s="82"/>
      <c r="M151" s="83"/>
      <c r="N151" s="83"/>
      <c r="O151" s="83"/>
      <c r="P151" s="82"/>
      <c r="Q151" s="181" t="s">
        <v>156</v>
      </c>
      <c r="R151" s="88"/>
      <c r="S151" s="181"/>
      <c r="T151" s="82"/>
      <c r="U151" s="25" t="s">
        <v>505</v>
      </c>
      <c r="V151" s="83"/>
      <c r="W151" s="172">
        <f>(7689.83332748945*1.15)+6482.05</f>
        <v>15325.358326612866</v>
      </c>
      <c r="X151" s="155"/>
      <c r="Y151" s="83"/>
      <c r="Z151" s="83"/>
      <c r="AB151" s="297"/>
    </row>
    <row r="152" spans="1:191" s="84" customFormat="1" ht="75" customHeight="1" x14ac:dyDescent="0.15">
      <c r="A152" s="141" t="s">
        <v>216</v>
      </c>
      <c r="B152" s="80" t="s">
        <v>383</v>
      </c>
      <c r="C152" s="83"/>
      <c r="D152" s="82"/>
      <c r="E152" s="181" t="s">
        <v>156</v>
      </c>
      <c r="F152" s="83"/>
      <c r="G152" s="83"/>
      <c r="H152" s="82"/>
      <c r="I152" s="83"/>
      <c r="J152" s="83"/>
      <c r="K152" s="181" t="s">
        <v>156</v>
      </c>
      <c r="L152" s="82"/>
      <c r="M152" s="83"/>
      <c r="N152" s="83"/>
      <c r="O152" s="181" t="s">
        <v>156</v>
      </c>
      <c r="P152" s="82"/>
      <c r="Q152" s="88"/>
      <c r="R152" s="88"/>
      <c r="S152" s="181" t="s">
        <v>156</v>
      </c>
      <c r="T152" s="82"/>
      <c r="U152" s="25" t="s">
        <v>217</v>
      </c>
      <c r="V152" s="160"/>
      <c r="W152" s="172">
        <f>4855.04385195981*1.15</f>
        <v>5583.3004297537809</v>
      </c>
      <c r="X152" s="91"/>
      <c r="Y152" s="83"/>
      <c r="Z152" s="83"/>
      <c r="AB152" s="298"/>
      <c r="AC152" s="204"/>
      <c r="BM152" s="204"/>
      <c r="BT152" s="204"/>
      <c r="CA152" s="204"/>
      <c r="CH152" s="204"/>
      <c r="CO152" s="204"/>
      <c r="CV152" s="204"/>
      <c r="DC152" s="204"/>
      <c r="DJ152" s="204"/>
      <c r="DQ152" s="204"/>
      <c r="DX152" s="204"/>
      <c r="EE152" s="204"/>
      <c r="EL152" s="204"/>
      <c r="ES152" s="204"/>
      <c r="EZ152" s="204"/>
      <c r="FG152" s="204"/>
      <c r="FN152" s="204"/>
      <c r="FU152" s="204"/>
      <c r="GB152" s="204"/>
      <c r="GI152" s="204"/>
    </row>
    <row r="153" spans="1:191" s="84" customFormat="1" ht="28" x14ac:dyDescent="0.15">
      <c r="A153" s="36" t="s">
        <v>198</v>
      </c>
      <c r="B153" s="23"/>
      <c r="C153" s="23"/>
      <c r="D153" s="23"/>
      <c r="E153" s="23"/>
      <c r="F153" s="23"/>
      <c r="G153" s="23"/>
      <c r="H153" s="23"/>
      <c r="I153" s="23"/>
      <c r="J153" s="23"/>
      <c r="K153" s="23"/>
      <c r="L153" s="23"/>
      <c r="M153" s="23"/>
      <c r="N153" s="23"/>
      <c r="O153" s="23"/>
      <c r="P153" s="23"/>
      <c r="Q153" s="23"/>
      <c r="R153" s="23"/>
      <c r="S153" s="23"/>
      <c r="T153" s="23"/>
      <c r="U153" s="23"/>
      <c r="V153" s="23"/>
      <c r="W153" s="23"/>
      <c r="X153" s="76"/>
      <c r="Y153" s="92"/>
      <c r="Z153" s="24" t="s">
        <v>177</v>
      </c>
    </row>
    <row r="154" spans="1:191" s="84" customFormat="1" ht="52" customHeight="1" x14ac:dyDescent="0.15">
      <c r="A154" s="45" t="s">
        <v>326</v>
      </c>
      <c r="B154" s="79" t="s">
        <v>376</v>
      </c>
      <c r="C154" s="83"/>
      <c r="D154" s="82"/>
      <c r="E154" s="83"/>
      <c r="F154" s="181" t="s">
        <v>156</v>
      </c>
      <c r="G154" s="81"/>
      <c r="H154" s="94"/>
      <c r="I154" s="81"/>
      <c r="J154" s="83"/>
      <c r="K154" s="83"/>
      <c r="L154" s="82"/>
      <c r="M154" s="144" t="s">
        <v>156</v>
      </c>
      <c r="N154" s="81"/>
      <c r="O154" s="83"/>
      <c r="P154" s="82"/>
      <c r="Q154" s="83"/>
      <c r="R154" s="83"/>
      <c r="S154" s="83"/>
      <c r="T154" s="82"/>
      <c r="U154" s="25" t="s">
        <v>327</v>
      </c>
      <c r="V154" s="91"/>
      <c r="W154" s="172">
        <v>3371.7948717948716</v>
      </c>
      <c r="X154" s="155"/>
      <c r="Y154" s="83"/>
      <c r="Z154" s="83"/>
    </row>
    <row r="155" spans="1:191" s="84" customFormat="1" ht="70" x14ac:dyDescent="0.15">
      <c r="A155" s="25" t="s">
        <v>328</v>
      </c>
      <c r="B155" s="79" t="s">
        <v>376</v>
      </c>
      <c r="C155" s="83"/>
      <c r="D155" s="82"/>
      <c r="E155" s="83"/>
      <c r="F155" s="81"/>
      <c r="G155" s="144"/>
      <c r="H155" s="94"/>
      <c r="I155" s="81"/>
      <c r="J155" s="83"/>
      <c r="K155" s="83"/>
      <c r="L155" s="82"/>
      <c r="M155" s="81"/>
      <c r="N155" s="181" t="s">
        <v>156</v>
      </c>
      <c r="O155" s="83"/>
      <c r="P155" s="82"/>
      <c r="Q155" s="83"/>
      <c r="R155" s="83"/>
      <c r="S155" s="83"/>
      <c r="T155" s="82"/>
      <c r="U155" s="25" t="s">
        <v>331</v>
      </c>
      <c r="V155" s="91"/>
      <c r="W155" s="172">
        <f>6816.40869752133*1.15</f>
        <v>7838.8700021495297</v>
      </c>
      <c r="X155" s="155"/>
      <c r="Y155" s="83"/>
      <c r="Z155" s="83"/>
    </row>
    <row r="156" spans="1:191" s="84" customFormat="1" ht="72" customHeight="1" x14ac:dyDescent="0.15">
      <c r="A156" s="25" t="s">
        <v>329</v>
      </c>
      <c r="B156" s="79" t="s">
        <v>381</v>
      </c>
      <c r="C156" s="83"/>
      <c r="D156" s="82"/>
      <c r="E156" s="181" t="s">
        <v>156</v>
      </c>
      <c r="F156" s="181" t="s">
        <v>156</v>
      </c>
      <c r="G156" s="144"/>
      <c r="H156" s="94"/>
      <c r="I156" s="81"/>
      <c r="J156" s="83"/>
      <c r="K156" s="83"/>
      <c r="L156" s="82"/>
      <c r="M156" s="181" t="s">
        <v>156</v>
      </c>
      <c r="N156" s="181" t="s">
        <v>156</v>
      </c>
      <c r="O156" s="83"/>
      <c r="P156" s="82"/>
      <c r="Q156" s="83"/>
      <c r="R156" s="83"/>
      <c r="S156" s="83"/>
      <c r="T156" s="82"/>
      <c r="U156" s="25" t="s">
        <v>330</v>
      </c>
      <c r="V156" s="91"/>
      <c r="W156" s="172">
        <v>16854.700854700855</v>
      </c>
      <c r="X156" s="155"/>
      <c r="Y156" s="83"/>
      <c r="Z156" s="83"/>
    </row>
    <row r="157" spans="1:191" s="84" customFormat="1" ht="28" x14ac:dyDescent="0.15">
      <c r="A157" s="36" t="s">
        <v>441</v>
      </c>
      <c r="B157" s="23"/>
      <c r="C157" s="23"/>
      <c r="D157" s="23"/>
      <c r="E157" s="23"/>
      <c r="F157" s="23"/>
      <c r="G157" s="23"/>
      <c r="H157" s="23"/>
      <c r="I157" s="23"/>
      <c r="J157" s="23"/>
      <c r="K157" s="23"/>
      <c r="L157" s="23"/>
      <c r="M157" s="23"/>
      <c r="N157" s="23"/>
      <c r="O157" s="23"/>
      <c r="P157" s="23"/>
      <c r="Q157" s="23"/>
      <c r="R157" s="23"/>
      <c r="S157" s="23"/>
      <c r="T157" s="23"/>
      <c r="U157" s="23"/>
      <c r="V157" s="23"/>
      <c r="W157" s="23"/>
      <c r="X157" s="76"/>
      <c r="Y157" s="92"/>
      <c r="Z157" s="161" t="s">
        <v>242</v>
      </c>
    </row>
    <row r="158" spans="1:191" s="84" customFormat="1" ht="57" customHeight="1" x14ac:dyDescent="0.15">
      <c r="A158" s="25" t="s">
        <v>345</v>
      </c>
      <c r="B158" s="25" t="s">
        <v>495</v>
      </c>
      <c r="C158" s="83"/>
      <c r="D158" s="82"/>
      <c r="E158" s="83"/>
      <c r="F158" s="181" t="s">
        <v>156</v>
      </c>
      <c r="G158" s="81"/>
      <c r="H158" s="94"/>
      <c r="I158" s="81"/>
      <c r="J158" s="181" t="s">
        <v>156</v>
      </c>
      <c r="K158" s="81"/>
      <c r="L158" s="94"/>
      <c r="M158" s="81"/>
      <c r="N158" s="181" t="s">
        <v>156</v>
      </c>
      <c r="O158" s="81"/>
      <c r="P158" s="94"/>
      <c r="Q158" s="181" t="s">
        <v>156</v>
      </c>
      <c r="R158" s="81"/>
      <c r="S158" s="81"/>
      <c r="T158" s="105"/>
      <c r="U158" s="25" t="s">
        <v>346</v>
      </c>
      <c r="V158" s="88"/>
      <c r="W158" s="172">
        <f>(23233.2302269813*1.15)+1761</f>
        <v>28479.214761028496</v>
      </c>
      <c r="X158" s="157"/>
      <c r="Y158" s="81"/>
      <c r="Z158" s="86"/>
    </row>
    <row r="159" spans="1:191" s="84" customFormat="1" ht="73" customHeight="1" x14ac:dyDescent="0.15">
      <c r="A159" s="25" t="s">
        <v>445</v>
      </c>
      <c r="B159" s="79" t="s">
        <v>446</v>
      </c>
      <c r="C159" s="83"/>
      <c r="D159" s="82"/>
      <c r="E159" s="83"/>
      <c r="F159" s="181"/>
      <c r="G159" s="81"/>
      <c r="H159" s="94"/>
      <c r="I159" s="81"/>
      <c r="J159" s="181"/>
      <c r="K159" s="81"/>
      <c r="L159" s="94"/>
      <c r="M159" s="181" t="s">
        <v>156</v>
      </c>
      <c r="N159" s="181"/>
      <c r="O159" s="81"/>
      <c r="P159" s="94"/>
      <c r="Q159" s="181"/>
      <c r="R159" s="81"/>
      <c r="S159" s="81"/>
      <c r="T159" s="105"/>
      <c r="U159" s="25" t="s">
        <v>442</v>
      </c>
      <c r="V159" s="170" t="s">
        <v>470</v>
      </c>
      <c r="W159" s="172">
        <v>6837.6068376068379</v>
      </c>
      <c r="X159" s="157"/>
      <c r="Y159" s="81"/>
      <c r="Z159" s="86"/>
    </row>
    <row r="160" spans="1:191" s="84" customFormat="1" ht="66" customHeight="1" x14ac:dyDescent="0.15">
      <c r="A160" s="25" t="s">
        <v>447</v>
      </c>
      <c r="B160" s="79" t="s">
        <v>448</v>
      </c>
      <c r="C160" s="83"/>
      <c r="D160" s="82"/>
      <c r="E160" s="83"/>
      <c r="F160" s="181"/>
      <c r="G160" s="81"/>
      <c r="H160" s="94"/>
      <c r="I160" s="181" t="s">
        <v>156</v>
      </c>
      <c r="J160" s="181"/>
      <c r="K160" s="81"/>
      <c r="L160" s="94"/>
      <c r="M160" s="81"/>
      <c r="N160" s="181"/>
      <c r="O160" s="81"/>
      <c r="P160" s="94"/>
      <c r="Q160" s="181"/>
      <c r="R160" s="81"/>
      <c r="S160" s="81"/>
      <c r="T160" s="105"/>
      <c r="U160" s="25" t="s">
        <v>449</v>
      </c>
      <c r="V160" s="170" t="s">
        <v>470</v>
      </c>
      <c r="W160" s="172">
        <v>6837.6068376068379</v>
      </c>
      <c r="X160" s="157"/>
      <c r="Y160" s="81"/>
      <c r="Z160" s="86"/>
    </row>
    <row r="161" spans="1:221" s="84" customFormat="1" ht="28" x14ac:dyDescent="0.15">
      <c r="A161" s="36" t="s">
        <v>430</v>
      </c>
      <c r="B161" s="23"/>
      <c r="C161" s="23"/>
      <c r="D161" s="23"/>
      <c r="E161" s="23"/>
      <c r="F161" s="23"/>
      <c r="G161" s="23"/>
      <c r="H161" s="23"/>
      <c r="I161" s="23"/>
      <c r="J161" s="23"/>
      <c r="K161" s="23"/>
      <c r="L161" s="23"/>
      <c r="M161" s="23"/>
      <c r="N161" s="23"/>
      <c r="O161" s="23"/>
      <c r="P161" s="23"/>
      <c r="Q161" s="23"/>
      <c r="R161" s="23"/>
      <c r="S161" s="23"/>
      <c r="T161" s="23"/>
      <c r="U161" s="23"/>
      <c r="V161" s="23"/>
      <c r="W161" s="23"/>
      <c r="X161" s="76"/>
      <c r="Y161" s="92"/>
      <c r="Z161" s="161" t="s">
        <v>242</v>
      </c>
    </row>
    <row r="162" spans="1:221" s="84" customFormat="1" ht="65" customHeight="1" x14ac:dyDescent="0.15">
      <c r="A162" s="25" t="s">
        <v>432</v>
      </c>
      <c r="B162" s="25" t="s">
        <v>434</v>
      </c>
      <c r="C162" s="83"/>
      <c r="D162" s="82"/>
      <c r="E162" s="83"/>
      <c r="F162" s="181" t="s">
        <v>156</v>
      </c>
      <c r="G162" s="181" t="s">
        <v>156</v>
      </c>
      <c r="H162" s="94"/>
      <c r="I162" s="181" t="s">
        <v>156</v>
      </c>
      <c r="J162" s="181" t="s">
        <v>156</v>
      </c>
      <c r="K162" s="181" t="s">
        <v>156</v>
      </c>
      <c r="L162" s="94"/>
      <c r="M162" s="181" t="s">
        <v>156</v>
      </c>
      <c r="N162" s="181" t="s">
        <v>156</v>
      </c>
      <c r="O162" s="181" t="s">
        <v>156</v>
      </c>
      <c r="P162" s="94"/>
      <c r="Q162" s="181" t="s">
        <v>156</v>
      </c>
      <c r="R162" s="181" t="s">
        <v>156</v>
      </c>
      <c r="S162" s="181" t="s">
        <v>156</v>
      </c>
      <c r="T162" s="105"/>
      <c r="U162" s="25" t="s">
        <v>501</v>
      </c>
      <c r="V162" s="88"/>
      <c r="W162" s="172"/>
      <c r="X162" s="157"/>
      <c r="Y162" s="172">
        <v>125111.1</v>
      </c>
      <c r="Z162" s="86"/>
      <c r="AB162" s="294"/>
    </row>
    <row r="163" spans="1:221" s="84" customFormat="1" ht="42" x14ac:dyDescent="0.15">
      <c r="A163" s="36" t="s">
        <v>428</v>
      </c>
      <c r="B163" s="23"/>
      <c r="C163" s="23"/>
      <c r="D163" s="23"/>
      <c r="E163" s="23"/>
      <c r="F163" s="23"/>
      <c r="G163" s="23"/>
      <c r="H163" s="23"/>
      <c r="I163" s="23"/>
      <c r="J163" s="23"/>
      <c r="K163" s="23"/>
      <c r="L163" s="23"/>
      <c r="M163" s="23"/>
      <c r="N163" s="23"/>
      <c r="O163" s="23"/>
      <c r="P163" s="23"/>
      <c r="Q163" s="23"/>
      <c r="R163" s="23"/>
      <c r="S163" s="23"/>
      <c r="T163" s="23"/>
      <c r="U163" s="23"/>
      <c r="V163" s="23"/>
      <c r="W163" s="23"/>
      <c r="X163" s="76"/>
      <c r="Y163" s="92"/>
      <c r="Z163" s="161" t="s">
        <v>139</v>
      </c>
    </row>
    <row r="164" spans="1:221" s="87" customFormat="1" ht="56" x14ac:dyDescent="0.15">
      <c r="A164" s="140" t="s">
        <v>222</v>
      </c>
      <c r="B164" s="25" t="s">
        <v>502</v>
      </c>
      <c r="C164" s="91"/>
      <c r="D164" s="85"/>
      <c r="E164" s="86"/>
      <c r="F164" s="181" t="s">
        <v>156</v>
      </c>
      <c r="G164" s="181" t="s">
        <v>156</v>
      </c>
      <c r="H164" s="85"/>
      <c r="J164" s="144"/>
      <c r="K164" s="144"/>
      <c r="L164" s="94"/>
      <c r="M164" s="144"/>
      <c r="N164" s="81"/>
      <c r="O164" s="86"/>
      <c r="P164" s="85"/>
      <c r="Q164" s="86"/>
      <c r="R164" s="86"/>
      <c r="S164" s="86"/>
      <c r="T164" s="85"/>
      <c r="U164" s="57" t="s">
        <v>218</v>
      </c>
      <c r="V164" s="25" t="s">
        <v>469</v>
      </c>
      <c r="W164" s="172">
        <v>9778.4025000000001</v>
      </c>
      <c r="X164" s="155"/>
      <c r="Y164" s="86"/>
      <c r="Z164" s="86"/>
      <c r="AA164" s="130"/>
      <c r="AB164" s="293"/>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31"/>
      <c r="CM164" s="131"/>
      <c r="CN164" s="131"/>
      <c r="CO164" s="131"/>
      <c r="CP164" s="131"/>
      <c r="CQ164" s="131"/>
      <c r="CR164" s="131"/>
      <c r="CS164" s="131"/>
      <c r="CT164" s="131"/>
      <c r="CU164" s="131"/>
      <c r="CV164" s="131"/>
      <c r="CW164" s="131"/>
      <c r="CX164" s="131"/>
      <c r="CY164" s="131"/>
      <c r="CZ164" s="131"/>
      <c r="DA164" s="131"/>
      <c r="DB164" s="131"/>
      <c r="DC164" s="131"/>
      <c r="DD164" s="131"/>
      <c r="DE164" s="131"/>
      <c r="DF164" s="131"/>
      <c r="DG164" s="131"/>
      <c r="DH164" s="131"/>
      <c r="DI164" s="131"/>
      <c r="DJ164" s="131"/>
      <c r="DK164" s="131"/>
      <c r="DL164" s="131"/>
      <c r="DM164" s="131"/>
      <c r="DN164" s="131"/>
      <c r="DO164" s="131"/>
      <c r="DP164" s="131"/>
      <c r="DQ164" s="131"/>
      <c r="DR164" s="131"/>
      <c r="DS164" s="131"/>
      <c r="DT164" s="131"/>
      <c r="DU164" s="131"/>
      <c r="DV164" s="131"/>
      <c r="DW164" s="131"/>
      <c r="DX164" s="131"/>
      <c r="DY164" s="131"/>
      <c r="DZ164" s="131"/>
      <c r="EA164" s="131"/>
      <c r="EB164" s="131"/>
      <c r="EC164" s="131"/>
      <c r="ED164" s="131"/>
      <c r="EE164" s="131"/>
      <c r="EF164" s="131"/>
      <c r="EG164" s="131"/>
      <c r="EH164" s="131"/>
      <c r="EI164" s="131"/>
      <c r="EJ164" s="131"/>
      <c r="EK164" s="131"/>
      <c r="EL164" s="131"/>
      <c r="EM164" s="131"/>
      <c r="EN164" s="131"/>
      <c r="EO164" s="131"/>
      <c r="EP164" s="131"/>
      <c r="EQ164" s="131"/>
      <c r="ER164" s="131"/>
      <c r="ES164" s="131"/>
      <c r="ET164" s="131"/>
      <c r="EU164" s="131"/>
      <c r="EV164" s="131"/>
      <c r="EW164" s="131"/>
      <c r="EX164" s="131"/>
      <c r="EY164" s="131"/>
      <c r="EZ164" s="131"/>
      <c r="FA164" s="131"/>
      <c r="FB164" s="131"/>
      <c r="FC164" s="131"/>
      <c r="FD164" s="131"/>
      <c r="FE164" s="131"/>
      <c r="FF164" s="131"/>
      <c r="FG164" s="131"/>
      <c r="FH164" s="131"/>
      <c r="FI164" s="131"/>
      <c r="FJ164" s="131"/>
      <c r="FK164" s="131"/>
      <c r="FL164" s="131"/>
      <c r="FM164" s="131"/>
      <c r="FN164" s="131"/>
      <c r="FO164" s="131"/>
      <c r="FP164" s="131"/>
      <c r="FQ164" s="131"/>
      <c r="FR164" s="131"/>
      <c r="FS164" s="131"/>
      <c r="FT164" s="131"/>
      <c r="FU164" s="131"/>
      <c r="FV164" s="131"/>
      <c r="FW164" s="131"/>
      <c r="FX164" s="131"/>
      <c r="FY164" s="131"/>
      <c r="FZ164" s="131"/>
      <c r="GA164" s="131"/>
      <c r="GB164" s="131"/>
      <c r="GC164" s="131"/>
      <c r="GD164" s="131"/>
      <c r="GE164" s="131"/>
      <c r="GF164" s="131"/>
      <c r="GG164" s="131"/>
      <c r="GH164" s="131"/>
      <c r="GI164" s="131"/>
      <c r="GJ164" s="131"/>
      <c r="GK164" s="131"/>
      <c r="GL164" s="131"/>
      <c r="GM164" s="131"/>
    </row>
    <row r="165" spans="1:221" s="84" customFormat="1" ht="56" x14ac:dyDescent="0.15">
      <c r="A165" s="140" t="s">
        <v>225</v>
      </c>
      <c r="B165" s="25" t="s">
        <v>308</v>
      </c>
      <c r="C165" s="164"/>
      <c r="D165" s="119"/>
      <c r="E165" s="118"/>
      <c r="F165" s="118"/>
      <c r="G165" s="181" t="s">
        <v>156</v>
      </c>
      <c r="H165" s="119"/>
      <c r="I165" s="118"/>
      <c r="J165" s="144"/>
      <c r="K165" s="83"/>
      <c r="L165" s="119"/>
      <c r="M165" s="118"/>
      <c r="N165" s="118"/>
      <c r="O165" s="118"/>
      <c r="P165" s="119"/>
      <c r="Q165" s="165"/>
      <c r="R165" s="166"/>
      <c r="S165" s="166"/>
      <c r="T165" s="119"/>
      <c r="U165" s="152" t="s">
        <v>226</v>
      </c>
      <c r="V165" s="25" t="s">
        <v>469</v>
      </c>
      <c r="W165" s="172">
        <f>8287*1.15</f>
        <v>9530.0499999999993</v>
      </c>
      <c r="X165" s="167"/>
      <c r="Y165" s="118"/>
      <c r="Z165" s="118"/>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M165" s="131"/>
      <c r="BN165" s="131"/>
      <c r="BO165" s="131"/>
      <c r="BP165" s="131"/>
      <c r="BQ165" s="131"/>
      <c r="BR165" s="131"/>
      <c r="BS165" s="131"/>
      <c r="BT165" s="131"/>
      <c r="BU165" s="131"/>
      <c r="BV165" s="131"/>
      <c r="BW165" s="131"/>
      <c r="BX165" s="131"/>
      <c r="BY165" s="131"/>
      <c r="BZ165" s="131"/>
      <c r="CA165" s="131"/>
      <c r="CB165" s="131"/>
      <c r="CC165" s="131"/>
      <c r="CD165" s="131"/>
      <c r="CE165" s="131"/>
      <c r="CF165" s="131"/>
      <c r="CG165" s="131"/>
      <c r="CH165" s="131"/>
      <c r="CI165" s="131"/>
      <c r="CJ165" s="131"/>
      <c r="CK165" s="131"/>
      <c r="CL165" s="131"/>
      <c r="CM165" s="131"/>
      <c r="CN165" s="131"/>
      <c r="CO165" s="131"/>
      <c r="CP165" s="131"/>
      <c r="CQ165" s="131"/>
      <c r="CR165" s="131"/>
      <c r="CS165" s="131"/>
      <c r="CT165" s="131"/>
      <c r="CU165" s="131"/>
      <c r="CV165" s="131"/>
      <c r="CW165" s="131"/>
      <c r="CX165" s="131"/>
      <c r="CY165" s="131"/>
      <c r="CZ165" s="131"/>
      <c r="DA165" s="131"/>
      <c r="DB165" s="131"/>
      <c r="DC165" s="131"/>
      <c r="DD165" s="131"/>
      <c r="DE165" s="131"/>
      <c r="DF165" s="131"/>
      <c r="DG165" s="131"/>
      <c r="DH165" s="131"/>
      <c r="DI165" s="131"/>
      <c r="DJ165" s="131"/>
      <c r="DK165" s="131"/>
      <c r="DL165" s="131"/>
      <c r="DM165" s="131"/>
      <c r="DN165" s="131"/>
      <c r="DO165" s="131"/>
      <c r="DP165" s="131"/>
      <c r="DQ165" s="131"/>
      <c r="DR165" s="131"/>
      <c r="DS165" s="131"/>
      <c r="DT165" s="131"/>
      <c r="DU165" s="131"/>
      <c r="DV165" s="131"/>
      <c r="DW165" s="131"/>
      <c r="DX165" s="131"/>
      <c r="DY165" s="131"/>
      <c r="DZ165" s="131"/>
      <c r="EA165" s="131"/>
      <c r="EB165" s="131"/>
      <c r="EC165" s="131"/>
      <c r="ED165" s="131"/>
      <c r="EE165" s="131"/>
      <c r="EF165" s="131"/>
      <c r="EG165" s="131"/>
      <c r="EH165" s="131"/>
      <c r="EI165" s="131"/>
      <c r="EJ165" s="131"/>
      <c r="EK165" s="131"/>
      <c r="EL165" s="131"/>
      <c r="EM165" s="131"/>
      <c r="EN165" s="131"/>
      <c r="EO165" s="131"/>
      <c r="EP165" s="131"/>
      <c r="EQ165" s="131"/>
      <c r="ER165" s="131"/>
      <c r="ES165" s="131"/>
      <c r="ET165" s="131"/>
      <c r="EU165" s="131"/>
      <c r="EV165" s="131"/>
      <c r="EW165" s="131"/>
      <c r="EX165" s="131"/>
      <c r="EY165" s="131"/>
      <c r="EZ165" s="131"/>
      <c r="FA165" s="131"/>
      <c r="FB165" s="131"/>
      <c r="FC165" s="131"/>
      <c r="FD165" s="131"/>
      <c r="FE165" s="131"/>
      <c r="FF165" s="131"/>
      <c r="FG165" s="131"/>
      <c r="FH165" s="131"/>
      <c r="FI165" s="131"/>
      <c r="FJ165" s="131"/>
      <c r="FK165" s="131"/>
      <c r="FL165" s="131"/>
      <c r="FM165" s="131"/>
      <c r="FN165" s="131"/>
      <c r="FO165" s="131"/>
      <c r="FP165" s="131"/>
      <c r="FQ165" s="131"/>
      <c r="FR165" s="131"/>
      <c r="FS165" s="131"/>
      <c r="FT165" s="131"/>
      <c r="FU165" s="131"/>
      <c r="FV165" s="131"/>
      <c r="FW165" s="131"/>
      <c r="FX165" s="131"/>
      <c r="FY165" s="131"/>
      <c r="FZ165" s="131"/>
      <c r="GA165" s="131"/>
      <c r="GB165" s="131"/>
      <c r="GC165" s="131"/>
      <c r="GD165" s="131"/>
      <c r="GE165" s="131"/>
      <c r="GF165" s="131"/>
      <c r="GG165" s="131"/>
      <c r="GH165" s="131"/>
      <c r="GI165" s="131"/>
      <c r="GJ165" s="131"/>
      <c r="GK165" s="131"/>
      <c r="GL165" s="131"/>
      <c r="GM165" s="131"/>
    </row>
    <row r="166" spans="1:221" s="98" customFormat="1" ht="97" customHeight="1" x14ac:dyDescent="0.15">
      <c r="A166" s="250" t="s">
        <v>332</v>
      </c>
      <c r="B166" s="45" t="s">
        <v>79</v>
      </c>
      <c r="C166" s="197"/>
      <c r="D166" s="119"/>
      <c r="E166" s="198"/>
      <c r="F166" s="198"/>
      <c r="G166" s="199"/>
      <c r="H166" s="119"/>
      <c r="I166" s="181" t="s">
        <v>156</v>
      </c>
      <c r="J166" s="181" t="s">
        <v>156</v>
      </c>
      <c r="K166" s="181" t="s">
        <v>156</v>
      </c>
      <c r="L166" s="119"/>
      <c r="M166" s="198"/>
      <c r="N166" s="198"/>
      <c r="O166" s="198"/>
      <c r="P166" s="119"/>
      <c r="Q166" s="200"/>
      <c r="R166" s="201"/>
      <c r="S166" s="201"/>
      <c r="T166" s="119"/>
      <c r="U166" s="202" t="s">
        <v>269</v>
      </c>
      <c r="V166" s="45"/>
      <c r="W166" s="172">
        <f>20000000/585</f>
        <v>34188.034188034188</v>
      </c>
      <c r="X166" s="203"/>
      <c r="Y166" s="198"/>
      <c r="Z166" s="198"/>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31"/>
      <c r="DE166" s="131"/>
      <c r="DF166" s="131"/>
      <c r="DG166" s="131"/>
      <c r="DH166" s="131"/>
      <c r="DI166" s="131"/>
      <c r="DJ166" s="131"/>
      <c r="DK166" s="131"/>
      <c r="DL166" s="131"/>
      <c r="DM166" s="131"/>
      <c r="DN166" s="131"/>
      <c r="DO166" s="131"/>
      <c r="DP166" s="131"/>
      <c r="DQ166" s="131"/>
      <c r="DR166" s="131"/>
      <c r="DS166" s="131"/>
      <c r="DT166" s="131"/>
      <c r="DU166" s="131"/>
      <c r="DV166" s="131"/>
      <c r="DW166" s="131"/>
      <c r="DX166" s="131"/>
      <c r="DY166" s="131"/>
      <c r="DZ166" s="131"/>
      <c r="EA166" s="131"/>
      <c r="EB166" s="131"/>
      <c r="EC166" s="131"/>
      <c r="ED166" s="131"/>
      <c r="EE166" s="131"/>
      <c r="EF166" s="131"/>
      <c r="EG166" s="131"/>
      <c r="EH166" s="131"/>
      <c r="EI166" s="131"/>
      <c r="EJ166" s="131"/>
      <c r="EK166" s="131"/>
      <c r="EL166" s="131"/>
      <c r="EM166" s="131"/>
      <c r="EN166" s="131"/>
      <c r="EO166" s="131"/>
      <c r="EP166" s="131"/>
      <c r="EQ166" s="131"/>
      <c r="ER166" s="131"/>
      <c r="ES166" s="131"/>
      <c r="ET166" s="131"/>
      <c r="EU166" s="131"/>
      <c r="EV166" s="131"/>
      <c r="EW166" s="131"/>
      <c r="EX166" s="131"/>
      <c r="EY166" s="131"/>
      <c r="EZ166" s="131"/>
      <c r="FA166" s="131"/>
      <c r="FB166" s="131"/>
      <c r="FC166" s="131"/>
      <c r="FD166" s="131"/>
      <c r="FE166" s="131"/>
      <c r="FF166" s="131"/>
      <c r="FG166" s="131"/>
      <c r="FH166" s="131"/>
      <c r="FI166" s="131"/>
      <c r="FJ166" s="131"/>
      <c r="FK166" s="131"/>
      <c r="FL166" s="131"/>
      <c r="FM166" s="131"/>
      <c r="FN166" s="131"/>
      <c r="FO166" s="131"/>
      <c r="FP166" s="131"/>
      <c r="FQ166" s="131"/>
      <c r="FR166" s="131"/>
      <c r="FS166" s="131"/>
      <c r="FT166" s="131"/>
      <c r="FU166" s="131"/>
      <c r="FV166" s="131"/>
      <c r="FW166" s="131"/>
      <c r="FX166" s="131"/>
      <c r="FY166" s="131"/>
      <c r="FZ166" s="131"/>
      <c r="GA166" s="131"/>
      <c r="GB166" s="131"/>
      <c r="GC166" s="131"/>
      <c r="GD166" s="131"/>
      <c r="GE166" s="131"/>
      <c r="GF166" s="131"/>
      <c r="GG166" s="131"/>
      <c r="GH166" s="131"/>
      <c r="GI166" s="131"/>
      <c r="GJ166" s="131"/>
      <c r="GK166" s="131"/>
      <c r="GL166" s="131"/>
      <c r="GM166" s="131"/>
    </row>
    <row r="167" spans="1:221" s="84" customFormat="1" ht="53" customHeight="1" x14ac:dyDescent="0.15">
      <c r="A167" s="283" t="s">
        <v>227</v>
      </c>
      <c r="B167" s="283" t="s">
        <v>340</v>
      </c>
      <c r="C167" s="151"/>
      <c r="D167" s="119"/>
      <c r="E167" s="118"/>
      <c r="F167" s="118"/>
      <c r="G167" s="181" t="s">
        <v>156</v>
      </c>
      <c r="H167" s="119"/>
      <c r="I167" s="144"/>
      <c r="J167" s="144"/>
      <c r="K167" s="144"/>
      <c r="L167" s="119"/>
      <c r="M167" s="118"/>
      <c r="N167" s="118"/>
      <c r="O167" s="118"/>
      <c r="P167" s="119"/>
      <c r="Q167" s="120"/>
      <c r="R167" s="118"/>
      <c r="S167" s="118"/>
      <c r="T167" s="119"/>
      <c r="U167" s="202" t="s">
        <v>270</v>
      </c>
      <c r="V167" s="25" t="s">
        <v>469</v>
      </c>
      <c r="W167" s="172">
        <f>7088.85*1.15</f>
        <v>8152.1774999999998</v>
      </c>
      <c r="X167" s="118"/>
      <c r="Y167" s="118"/>
      <c r="Z167" s="118"/>
    </row>
    <row r="168" spans="1:221" s="84" customFormat="1" ht="42" x14ac:dyDescent="0.15">
      <c r="A168" s="250" t="s">
        <v>475</v>
      </c>
      <c r="B168" s="25" t="s">
        <v>455</v>
      </c>
      <c r="C168" s="248"/>
      <c r="D168" s="249"/>
      <c r="E168" s="248"/>
      <c r="F168" s="118"/>
      <c r="G168" s="181"/>
      <c r="H168" s="249"/>
      <c r="I168" s="181" t="s">
        <v>156</v>
      </c>
      <c r="J168" s="181"/>
      <c r="K168" s="118"/>
      <c r="L168" s="249"/>
      <c r="M168" s="83"/>
      <c r="N168" s="83"/>
      <c r="O168" s="83"/>
      <c r="P168" s="249"/>
      <c r="Q168" s="86"/>
      <c r="R168" s="83"/>
      <c r="S168" s="83"/>
      <c r="T168" s="249"/>
      <c r="U168" s="45"/>
      <c r="V168" s="245"/>
      <c r="W168" s="172">
        <v>15384.615384615385</v>
      </c>
      <c r="X168" s="118"/>
      <c r="Y168" s="118"/>
      <c r="Z168" s="118"/>
    </row>
    <row r="169" spans="1:221" s="84" customFormat="1" ht="60" customHeight="1" x14ac:dyDescent="0.15">
      <c r="A169" s="145" t="s">
        <v>476</v>
      </c>
      <c r="B169" s="25" t="s">
        <v>459</v>
      </c>
      <c r="C169" s="248"/>
      <c r="D169" s="249"/>
      <c r="E169" s="248"/>
      <c r="F169" s="118"/>
      <c r="G169" s="181"/>
      <c r="H169" s="249"/>
      <c r="I169" s="181" t="s">
        <v>156</v>
      </c>
      <c r="J169" s="181" t="s">
        <v>156</v>
      </c>
      <c r="K169" s="118"/>
      <c r="L169" s="249"/>
      <c r="M169" s="83"/>
      <c r="N169" s="83"/>
      <c r="O169" s="83"/>
      <c r="P169" s="249"/>
      <c r="Q169" s="86"/>
      <c r="R169" s="83"/>
      <c r="S169" s="83"/>
      <c r="T169" s="249"/>
      <c r="U169" s="25" t="s">
        <v>463</v>
      </c>
      <c r="V169" s="25" t="s">
        <v>470</v>
      </c>
      <c r="W169" s="172">
        <v>17094.017094017094</v>
      </c>
      <c r="X169" s="118"/>
      <c r="Y169" s="118"/>
      <c r="Z169" s="118"/>
    </row>
    <row r="170" spans="1:221" s="84" customFormat="1" ht="30" customHeight="1" x14ac:dyDescent="0.15">
      <c r="A170" s="36" t="s">
        <v>429</v>
      </c>
      <c r="B170" s="23"/>
      <c r="C170" s="23"/>
      <c r="D170" s="23"/>
      <c r="E170" s="23"/>
      <c r="F170" s="23"/>
      <c r="G170" s="23"/>
      <c r="H170" s="23"/>
      <c r="I170" s="23"/>
      <c r="J170" s="23"/>
      <c r="K170" s="23"/>
      <c r="L170" s="23"/>
      <c r="M170" s="23"/>
      <c r="N170" s="23"/>
      <c r="O170" s="23"/>
      <c r="P170" s="23"/>
      <c r="Q170" s="23"/>
      <c r="R170" s="23"/>
      <c r="S170" s="23"/>
      <c r="T170" s="23"/>
      <c r="U170" s="23"/>
      <c r="V170" s="23"/>
      <c r="W170" s="23"/>
      <c r="X170" s="76"/>
      <c r="Y170" s="92"/>
      <c r="Z170" s="93"/>
      <c r="AA170" s="128"/>
      <c r="AB170" s="129"/>
      <c r="AC170" s="129"/>
      <c r="AD170" s="129"/>
      <c r="AE170" s="129"/>
      <c r="AF170" s="129"/>
      <c r="AG170" s="129"/>
      <c r="AH170" s="129"/>
      <c r="AI170" s="129"/>
      <c r="AJ170" s="129"/>
      <c r="AK170" s="129"/>
      <c r="AL170" s="129"/>
      <c r="AM170" s="129"/>
      <c r="AN170" s="129"/>
      <c r="AO170" s="129"/>
      <c r="AP170" s="129"/>
      <c r="AQ170" s="129"/>
      <c r="AR170" s="129"/>
      <c r="AS170" s="129"/>
      <c r="AT170" s="129"/>
      <c r="AU170" s="129"/>
      <c r="AV170" s="129"/>
      <c r="AW170" s="129"/>
      <c r="AX170" s="129"/>
      <c r="AY170" s="129"/>
      <c r="AZ170" s="129"/>
      <c r="BA170" s="129"/>
      <c r="BB170" s="129"/>
      <c r="BC170" s="129"/>
      <c r="BD170" s="129"/>
      <c r="BE170" s="129"/>
      <c r="BF170" s="129"/>
      <c r="BG170" s="129"/>
      <c r="BH170" s="129"/>
      <c r="BI170" s="129"/>
      <c r="BJ170" s="129"/>
      <c r="BK170" s="129"/>
      <c r="BL170" s="129"/>
      <c r="BM170" s="129"/>
      <c r="BN170" s="129"/>
      <c r="BO170" s="129"/>
      <c r="BP170" s="129"/>
      <c r="BQ170" s="129"/>
      <c r="BR170" s="129"/>
      <c r="BS170" s="129"/>
      <c r="BT170" s="129"/>
      <c r="BU170" s="129"/>
      <c r="BV170" s="129"/>
      <c r="BW170" s="129"/>
      <c r="BX170" s="129"/>
      <c r="BY170" s="129"/>
      <c r="BZ170" s="129"/>
      <c r="CA170" s="129"/>
      <c r="CB170" s="129"/>
      <c r="CC170" s="129"/>
      <c r="CD170" s="129"/>
      <c r="CE170" s="129"/>
      <c r="CF170" s="129"/>
      <c r="CG170" s="129"/>
      <c r="CH170" s="129"/>
      <c r="CI170" s="129"/>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29"/>
      <c r="DF170" s="129"/>
      <c r="DG170" s="129"/>
      <c r="DH170" s="129"/>
      <c r="DI170" s="129"/>
      <c r="DJ170" s="129"/>
      <c r="DK170" s="129"/>
      <c r="DL170" s="129"/>
      <c r="DM170" s="129"/>
      <c r="DN170" s="129"/>
      <c r="DO170" s="129"/>
      <c r="DP170" s="129"/>
      <c r="DQ170" s="129"/>
      <c r="DR170" s="129"/>
      <c r="DS170" s="129"/>
      <c r="DT170" s="129"/>
      <c r="DU170" s="129"/>
      <c r="DV170" s="129"/>
      <c r="DW170" s="129"/>
      <c r="DX170" s="129"/>
      <c r="DY170" s="129"/>
      <c r="DZ170" s="129"/>
      <c r="EA170" s="129"/>
      <c r="EB170" s="129"/>
      <c r="EC170" s="129"/>
      <c r="ED170" s="129"/>
      <c r="EE170" s="129"/>
      <c r="EF170" s="129"/>
      <c r="EG170" s="129"/>
      <c r="EH170" s="129"/>
      <c r="EI170" s="129"/>
      <c r="EJ170" s="129"/>
      <c r="EK170" s="129"/>
      <c r="EL170" s="129"/>
      <c r="EM170" s="129"/>
      <c r="EN170" s="129"/>
      <c r="EO170" s="129"/>
      <c r="EP170" s="129"/>
      <c r="EQ170" s="129"/>
      <c r="ER170" s="129"/>
      <c r="ES170" s="129"/>
      <c r="ET170" s="129"/>
      <c r="EU170" s="129"/>
      <c r="EV170" s="129"/>
      <c r="EW170" s="129"/>
      <c r="EX170" s="129"/>
      <c r="EY170" s="129"/>
      <c r="EZ170" s="129"/>
      <c r="FA170" s="129"/>
      <c r="FB170" s="129"/>
      <c r="FC170" s="129"/>
      <c r="FD170" s="129"/>
      <c r="FE170" s="129"/>
      <c r="FF170" s="129"/>
      <c r="FG170" s="129"/>
      <c r="FH170" s="129"/>
      <c r="FI170" s="129"/>
      <c r="FJ170" s="129"/>
      <c r="FK170" s="129"/>
      <c r="FL170" s="129"/>
      <c r="FM170" s="129"/>
      <c r="FN170" s="129"/>
      <c r="FO170" s="129"/>
      <c r="FP170" s="129"/>
      <c r="FQ170" s="129"/>
      <c r="FR170" s="129"/>
      <c r="FS170" s="129"/>
      <c r="FT170" s="129"/>
      <c r="FU170" s="129"/>
      <c r="FV170" s="129"/>
      <c r="FW170" s="129"/>
      <c r="FX170" s="129"/>
      <c r="FY170" s="129"/>
      <c r="FZ170" s="129"/>
      <c r="GA170" s="129"/>
      <c r="GB170" s="129"/>
      <c r="GC170" s="129"/>
      <c r="GD170" s="129"/>
      <c r="GE170" s="129"/>
      <c r="GF170" s="129"/>
      <c r="GG170" s="129"/>
      <c r="GH170" s="129"/>
      <c r="GI170" s="129"/>
      <c r="GJ170" s="129"/>
      <c r="GK170" s="129"/>
      <c r="GL170" s="129"/>
      <c r="GM170" s="129"/>
      <c r="GN170" s="129"/>
      <c r="GO170" s="129"/>
      <c r="GP170" s="129"/>
      <c r="GQ170" s="129"/>
      <c r="GR170" s="129"/>
      <c r="GS170" s="129"/>
      <c r="GT170" s="129"/>
      <c r="GU170" s="129"/>
      <c r="GV170" s="129"/>
      <c r="GW170" s="129"/>
      <c r="GX170" s="129"/>
      <c r="GY170" s="129"/>
      <c r="GZ170" s="129"/>
      <c r="HA170" s="129"/>
      <c r="HB170" s="129"/>
      <c r="HC170" s="129"/>
      <c r="HD170" s="129"/>
      <c r="HE170" s="129"/>
      <c r="HF170" s="129"/>
      <c r="HG170" s="129"/>
      <c r="HH170" s="129"/>
      <c r="HI170" s="129"/>
      <c r="HJ170" s="129"/>
      <c r="HK170" s="129"/>
      <c r="HL170" s="129"/>
      <c r="HM170" s="129"/>
    </row>
    <row r="171" spans="1:221" s="103" customFormat="1" ht="42" x14ac:dyDescent="0.15">
      <c r="A171" s="282" t="s">
        <v>427</v>
      </c>
      <c r="B171" s="282" t="s">
        <v>340</v>
      </c>
      <c r="D171" s="121"/>
      <c r="E171" s="144"/>
      <c r="F171" s="144"/>
      <c r="G171" s="144" t="s">
        <v>156</v>
      </c>
      <c r="H171" s="121"/>
      <c r="I171" s="144"/>
      <c r="J171" s="144"/>
      <c r="L171" s="121"/>
      <c r="P171" s="121"/>
      <c r="T171" s="121"/>
      <c r="U171" s="146" t="s">
        <v>219</v>
      </c>
      <c r="V171" s="150" t="s">
        <v>467</v>
      </c>
      <c r="W171" s="182">
        <v>35047.008547008547</v>
      </c>
      <c r="X171" s="158"/>
      <c r="AA171" s="130"/>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c r="BM171" s="131"/>
      <c r="BN171" s="131"/>
      <c r="BO171" s="131"/>
      <c r="BP171" s="131"/>
      <c r="BQ171" s="131"/>
      <c r="BR171" s="131"/>
      <c r="BS171" s="131"/>
      <c r="BT171" s="131"/>
      <c r="BU171" s="131"/>
      <c r="BV171" s="131"/>
      <c r="BW171" s="131"/>
      <c r="BX171" s="131"/>
      <c r="BY171" s="131"/>
      <c r="BZ171" s="131"/>
      <c r="CA171" s="131"/>
      <c r="CB171" s="131"/>
      <c r="CC171" s="131"/>
      <c r="CD171" s="131"/>
      <c r="CE171" s="131"/>
      <c r="CF171" s="131"/>
      <c r="CG171" s="131"/>
      <c r="CH171" s="131"/>
      <c r="CI171" s="131"/>
      <c r="CJ171" s="131"/>
      <c r="CK171" s="131"/>
      <c r="CL171" s="131"/>
      <c r="CM171" s="131"/>
      <c r="CN171" s="131"/>
      <c r="CO171" s="131"/>
      <c r="CP171" s="131"/>
      <c r="CQ171" s="131"/>
      <c r="CR171" s="131"/>
      <c r="CS171" s="131"/>
      <c r="CT171" s="131"/>
      <c r="CU171" s="131"/>
      <c r="CV171" s="131"/>
      <c r="CW171" s="131"/>
      <c r="CX171" s="131"/>
      <c r="CY171" s="131"/>
      <c r="CZ171" s="131"/>
      <c r="DA171" s="131"/>
      <c r="DB171" s="131"/>
      <c r="DC171" s="131"/>
      <c r="DD171" s="131"/>
      <c r="DE171" s="131"/>
      <c r="DF171" s="131"/>
      <c r="DG171" s="131"/>
      <c r="DH171" s="131"/>
      <c r="DI171" s="131"/>
      <c r="DJ171" s="131"/>
      <c r="DK171" s="131"/>
      <c r="DL171" s="131"/>
      <c r="DM171" s="131"/>
      <c r="DN171" s="131"/>
      <c r="DO171" s="131"/>
      <c r="DP171" s="131"/>
      <c r="DQ171" s="131"/>
      <c r="DR171" s="131"/>
      <c r="DS171" s="131"/>
      <c r="DT171" s="131"/>
      <c r="DU171" s="131"/>
      <c r="DV171" s="131"/>
      <c r="DW171" s="131"/>
      <c r="DX171" s="131"/>
      <c r="DY171" s="131"/>
      <c r="DZ171" s="131"/>
      <c r="EA171" s="131"/>
      <c r="EB171" s="131"/>
      <c r="EC171" s="131"/>
      <c r="ED171" s="131"/>
      <c r="EE171" s="131"/>
      <c r="EF171" s="131"/>
      <c r="EG171" s="131"/>
      <c r="EH171" s="131"/>
      <c r="EI171" s="131"/>
      <c r="EJ171" s="131"/>
      <c r="EK171" s="131"/>
      <c r="EL171" s="131"/>
      <c r="EM171" s="131"/>
      <c r="EN171" s="131"/>
      <c r="EO171" s="131"/>
      <c r="EP171" s="131"/>
      <c r="EQ171" s="131"/>
      <c r="ER171" s="131"/>
      <c r="ES171" s="131"/>
      <c r="ET171" s="131"/>
      <c r="EU171" s="131"/>
      <c r="EV171" s="131"/>
      <c r="EW171" s="131"/>
      <c r="EX171" s="131"/>
      <c r="EY171" s="131"/>
      <c r="EZ171" s="131"/>
      <c r="FA171" s="131"/>
      <c r="FB171" s="131"/>
      <c r="FC171" s="131"/>
      <c r="FD171" s="131"/>
      <c r="FE171" s="131"/>
      <c r="FF171" s="131"/>
      <c r="FG171" s="131"/>
      <c r="FH171" s="131"/>
      <c r="FI171" s="131"/>
      <c r="FJ171" s="131"/>
      <c r="FK171" s="131"/>
      <c r="FL171" s="131"/>
      <c r="FM171" s="131"/>
      <c r="FN171" s="131"/>
      <c r="FO171" s="131"/>
      <c r="FP171" s="131"/>
      <c r="FQ171" s="131"/>
      <c r="FR171" s="131"/>
      <c r="FS171" s="131"/>
      <c r="FT171" s="131"/>
      <c r="FU171" s="131"/>
      <c r="FV171" s="131"/>
      <c r="FW171" s="131"/>
      <c r="FX171" s="131"/>
      <c r="FY171" s="131"/>
      <c r="FZ171" s="131"/>
      <c r="GA171" s="131"/>
      <c r="GB171" s="131"/>
      <c r="GC171" s="131"/>
      <c r="GD171" s="131"/>
      <c r="GE171" s="131"/>
      <c r="GF171" s="131"/>
      <c r="GG171" s="131"/>
      <c r="GH171" s="131"/>
      <c r="GI171" s="131"/>
      <c r="GJ171" s="131"/>
      <c r="GK171" s="131"/>
      <c r="GL171" s="131"/>
      <c r="GM171" s="131"/>
      <c r="GN171" s="131"/>
      <c r="GO171" s="131"/>
      <c r="GP171" s="131"/>
      <c r="GQ171" s="131"/>
      <c r="GR171" s="131"/>
      <c r="GS171" s="131"/>
      <c r="GT171" s="131"/>
      <c r="GU171" s="131"/>
      <c r="GV171" s="131"/>
      <c r="GW171" s="131"/>
      <c r="GX171" s="131"/>
      <c r="GY171" s="131"/>
      <c r="GZ171" s="131"/>
      <c r="HA171" s="131"/>
      <c r="HB171" s="131"/>
      <c r="HC171" s="131"/>
      <c r="HD171" s="131"/>
      <c r="HE171" s="131"/>
      <c r="HF171" s="131"/>
      <c r="HG171" s="131"/>
      <c r="HH171" s="131"/>
      <c r="HI171" s="131"/>
      <c r="HJ171" s="131"/>
      <c r="HK171" s="131"/>
      <c r="HL171" s="131"/>
      <c r="HM171" s="131"/>
    </row>
    <row r="172" spans="1:221" s="103" customFormat="1" ht="56" x14ac:dyDescent="0.15">
      <c r="A172" s="145" t="s">
        <v>228</v>
      </c>
      <c r="B172" s="25" t="s">
        <v>443</v>
      </c>
      <c r="D172" s="121"/>
      <c r="F172" s="181" t="s">
        <v>156</v>
      </c>
      <c r="G172" s="181"/>
      <c r="H172" s="121"/>
      <c r="J172" s="144"/>
      <c r="L172" s="121"/>
      <c r="P172" s="121"/>
      <c r="T172" s="121"/>
      <c r="U172" s="145" t="s">
        <v>220</v>
      </c>
      <c r="V172" s="150" t="s">
        <v>467</v>
      </c>
      <c r="W172" s="182">
        <f>30000</f>
        <v>30000</v>
      </c>
      <c r="AA172" s="130"/>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c r="BM172" s="131"/>
      <c r="BN172" s="131"/>
      <c r="BO172" s="131"/>
      <c r="BP172" s="131"/>
      <c r="BQ172" s="131"/>
      <c r="BR172" s="131"/>
      <c r="BS172" s="131"/>
      <c r="BT172" s="131"/>
      <c r="BU172" s="131"/>
      <c r="BV172" s="131"/>
      <c r="BW172" s="131"/>
      <c r="BX172" s="131"/>
      <c r="BY172" s="131"/>
      <c r="BZ172" s="131"/>
      <c r="CA172" s="131"/>
      <c r="CB172" s="131"/>
      <c r="CC172" s="131"/>
      <c r="CD172" s="131"/>
      <c r="CE172" s="131"/>
      <c r="CF172" s="131"/>
      <c r="CG172" s="131"/>
      <c r="CH172" s="131"/>
      <c r="CI172" s="131"/>
      <c r="CJ172" s="131"/>
      <c r="CK172" s="131"/>
      <c r="CL172" s="131"/>
      <c r="CM172" s="131"/>
      <c r="CN172" s="131"/>
      <c r="CO172" s="131"/>
      <c r="CP172" s="131"/>
      <c r="CQ172" s="131"/>
      <c r="CR172" s="131"/>
      <c r="CS172" s="131"/>
      <c r="CT172" s="131"/>
      <c r="CU172" s="131"/>
      <c r="CV172" s="131"/>
      <c r="CW172" s="131"/>
      <c r="CX172" s="131"/>
      <c r="CY172" s="131"/>
      <c r="CZ172" s="131"/>
      <c r="DA172" s="131"/>
      <c r="DB172" s="131"/>
      <c r="DC172" s="131"/>
      <c r="DD172" s="131"/>
      <c r="DE172" s="131"/>
      <c r="DF172" s="131"/>
      <c r="DG172" s="131"/>
      <c r="DH172" s="131"/>
      <c r="DI172" s="131"/>
      <c r="DJ172" s="131"/>
      <c r="DK172" s="131"/>
      <c r="DL172" s="131"/>
      <c r="DM172" s="131"/>
      <c r="DN172" s="131"/>
      <c r="DO172" s="131"/>
      <c r="DP172" s="131"/>
      <c r="DQ172" s="131"/>
      <c r="DR172" s="131"/>
      <c r="DS172" s="131"/>
      <c r="DT172" s="131"/>
      <c r="DU172" s="131"/>
      <c r="DV172" s="131"/>
      <c r="DW172" s="131"/>
      <c r="DX172" s="131"/>
      <c r="DY172" s="131"/>
      <c r="DZ172" s="131"/>
      <c r="EA172" s="131"/>
      <c r="EB172" s="131"/>
      <c r="EC172" s="131"/>
      <c r="ED172" s="131"/>
      <c r="EE172" s="131"/>
      <c r="EF172" s="131"/>
      <c r="EG172" s="131"/>
      <c r="EH172" s="131"/>
      <c r="EI172" s="131"/>
      <c r="EJ172" s="131"/>
      <c r="EK172" s="131"/>
      <c r="EL172" s="131"/>
      <c r="EM172" s="131"/>
      <c r="EN172" s="131"/>
      <c r="EO172" s="131"/>
      <c r="EP172" s="131"/>
      <c r="EQ172" s="131"/>
      <c r="ER172" s="131"/>
      <c r="ES172" s="131"/>
      <c r="ET172" s="131"/>
      <c r="EU172" s="131"/>
      <c r="EV172" s="131"/>
      <c r="EW172" s="131"/>
      <c r="EX172" s="131"/>
      <c r="EY172" s="131"/>
      <c r="EZ172" s="131"/>
      <c r="FA172" s="131"/>
      <c r="FB172" s="131"/>
      <c r="FC172" s="131"/>
      <c r="FD172" s="131"/>
      <c r="FE172" s="131"/>
      <c r="FF172" s="131"/>
      <c r="FG172" s="131"/>
      <c r="FH172" s="131"/>
      <c r="FI172" s="131"/>
      <c r="FJ172" s="131"/>
      <c r="FK172" s="131"/>
      <c r="FL172" s="131"/>
      <c r="FM172" s="131"/>
      <c r="FN172" s="131"/>
      <c r="FO172" s="131"/>
      <c r="FP172" s="131"/>
      <c r="FQ172" s="131"/>
      <c r="FR172" s="131"/>
      <c r="FS172" s="131"/>
      <c r="FT172" s="131"/>
      <c r="FU172" s="131"/>
      <c r="FV172" s="131"/>
      <c r="FW172" s="131"/>
      <c r="FX172" s="131"/>
      <c r="FY172" s="131"/>
      <c r="FZ172" s="131"/>
      <c r="GA172" s="131"/>
      <c r="GB172" s="131"/>
      <c r="GC172" s="131"/>
      <c r="GD172" s="131"/>
      <c r="GE172" s="131"/>
      <c r="GF172" s="131"/>
      <c r="GG172" s="131"/>
      <c r="GH172" s="131"/>
      <c r="GI172" s="131"/>
      <c r="GJ172" s="131"/>
      <c r="GK172" s="131"/>
      <c r="GL172" s="131"/>
      <c r="GM172" s="131"/>
      <c r="GN172" s="131"/>
      <c r="GO172" s="131"/>
      <c r="GP172" s="131"/>
      <c r="GQ172" s="131"/>
      <c r="GR172" s="131"/>
      <c r="GS172" s="131"/>
      <c r="GT172" s="131"/>
      <c r="GU172" s="131"/>
      <c r="GV172" s="131"/>
      <c r="GW172" s="131"/>
      <c r="GX172" s="131"/>
      <c r="GY172" s="131"/>
      <c r="GZ172" s="131"/>
      <c r="HA172" s="131"/>
      <c r="HB172" s="131"/>
      <c r="HC172" s="131"/>
      <c r="HD172" s="131"/>
      <c r="HE172" s="131"/>
      <c r="HF172" s="131"/>
      <c r="HG172" s="131"/>
      <c r="HH172" s="131"/>
      <c r="HI172" s="131"/>
      <c r="HJ172" s="131"/>
      <c r="HK172" s="131"/>
      <c r="HL172" s="131"/>
      <c r="HM172" s="131"/>
    </row>
    <row r="173" spans="1:221" s="103" customFormat="1" ht="42" x14ac:dyDescent="0.15">
      <c r="A173" s="145" t="s">
        <v>229</v>
      </c>
      <c r="B173" s="25" t="s">
        <v>230</v>
      </c>
      <c r="D173" s="121"/>
      <c r="F173" s="181" t="s">
        <v>156</v>
      </c>
      <c r="G173" s="181" t="s">
        <v>156</v>
      </c>
      <c r="H173" s="121"/>
      <c r="J173" s="144"/>
      <c r="K173" s="144"/>
      <c r="L173" s="121"/>
      <c r="P173" s="121"/>
      <c r="T173" s="121"/>
      <c r="U173" s="145" t="s">
        <v>221</v>
      </c>
      <c r="V173" s="150" t="s">
        <v>467</v>
      </c>
      <c r="W173" s="182">
        <f>3572.49026994147*1.15</f>
        <v>4108.3638104326901</v>
      </c>
      <c r="AA173" s="130"/>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c r="BW173" s="131"/>
      <c r="BX173" s="131"/>
      <c r="BY173" s="131"/>
      <c r="BZ173" s="131"/>
      <c r="CA173" s="131"/>
      <c r="CB173" s="131"/>
      <c r="CC173" s="131"/>
      <c r="CD173" s="131"/>
      <c r="CE173" s="131"/>
      <c r="CF173" s="131"/>
      <c r="CG173" s="131"/>
      <c r="CH173" s="131"/>
      <c r="CI173" s="131"/>
      <c r="CJ173" s="131"/>
      <c r="CK173" s="131"/>
      <c r="CL173" s="131"/>
      <c r="CM173" s="131"/>
      <c r="CN173" s="131"/>
      <c r="CO173" s="131"/>
      <c r="CP173" s="131"/>
      <c r="CQ173" s="131"/>
      <c r="CR173" s="131"/>
      <c r="CS173" s="131"/>
      <c r="CT173" s="131"/>
      <c r="CU173" s="131"/>
      <c r="CV173" s="131"/>
      <c r="CW173" s="131"/>
      <c r="CX173" s="131"/>
      <c r="CY173" s="131"/>
      <c r="CZ173" s="131"/>
      <c r="DA173" s="131"/>
      <c r="DB173" s="131"/>
      <c r="DC173" s="131"/>
      <c r="DD173" s="131"/>
      <c r="DE173" s="131"/>
      <c r="DF173" s="131"/>
      <c r="DG173" s="131"/>
      <c r="DH173" s="131"/>
      <c r="DI173" s="131"/>
      <c r="DJ173" s="131"/>
      <c r="DK173" s="131"/>
      <c r="DL173" s="131"/>
      <c r="DM173" s="131"/>
      <c r="DN173" s="131"/>
      <c r="DO173" s="131"/>
      <c r="DP173" s="131"/>
      <c r="DQ173" s="131"/>
      <c r="DR173" s="131"/>
      <c r="DS173" s="131"/>
      <c r="DT173" s="131"/>
      <c r="DU173" s="131"/>
      <c r="DV173" s="131"/>
      <c r="DW173" s="131"/>
      <c r="DX173" s="131"/>
      <c r="DY173" s="131"/>
      <c r="DZ173" s="131"/>
      <c r="EA173" s="131"/>
      <c r="EB173" s="131"/>
      <c r="EC173" s="131"/>
      <c r="ED173" s="131"/>
      <c r="EE173" s="131"/>
      <c r="EF173" s="131"/>
      <c r="EG173" s="131"/>
      <c r="EH173" s="131"/>
      <c r="EI173" s="131"/>
      <c r="EJ173" s="131"/>
      <c r="EK173" s="131"/>
      <c r="EL173" s="131"/>
      <c r="EM173" s="131"/>
      <c r="EN173" s="131"/>
      <c r="EO173" s="131"/>
      <c r="EP173" s="131"/>
      <c r="EQ173" s="131"/>
      <c r="ER173" s="131"/>
      <c r="ES173" s="131"/>
      <c r="ET173" s="131"/>
      <c r="EU173" s="131"/>
      <c r="EV173" s="131"/>
      <c r="EW173" s="131"/>
      <c r="EX173" s="131"/>
      <c r="EY173" s="131"/>
      <c r="EZ173" s="131"/>
      <c r="FA173" s="131"/>
      <c r="FB173" s="131"/>
      <c r="FC173" s="131"/>
      <c r="FD173" s="131"/>
      <c r="FE173" s="131"/>
      <c r="FF173" s="131"/>
      <c r="FG173" s="131"/>
      <c r="FH173" s="131"/>
      <c r="FI173" s="131"/>
      <c r="FJ173" s="131"/>
      <c r="FK173" s="131"/>
      <c r="FL173" s="131"/>
      <c r="FM173" s="131"/>
      <c r="FN173" s="131"/>
      <c r="FO173" s="131"/>
      <c r="FP173" s="131"/>
      <c r="FQ173" s="131"/>
      <c r="FR173" s="131"/>
      <c r="FS173" s="131"/>
      <c r="FT173" s="131"/>
      <c r="FU173" s="131"/>
      <c r="FV173" s="131"/>
      <c r="FW173" s="131"/>
      <c r="FX173" s="131"/>
      <c r="FY173" s="131"/>
      <c r="FZ173" s="131"/>
      <c r="GA173" s="131"/>
      <c r="GB173" s="131"/>
      <c r="GC173" s="131"/>
      <c r="GD173" s="131"/>
      <c r="GE173" s="131"/>
      <c r="GF173" s="131"/>
      <c r="GG173" s="131"/>
      <c r="GH173" s="131"/>
      <c r="GI173" s="131"/>
      <c r="GJ173" s="131"/>
      <c r="GK173" s="131"/>
      <c r="GL173" s="131"/>
      <c r="GM173" s="131"/>
      <c r="GN173" s="131"/>
      <c r="GO173" s="131"/>
      <c r="GP173" s="131"/>
      <c r="GQ173" s="131"/>
      <c r="GR173" s="131"/>
      <c r="GS173" s="131"/>
      <c r="GT173" s="131"/>
      <c r="GU173" s="131"/>
      <c r="GV173" s="131"/>
      <c r="GW173" s="131"/>
      <c r="GX173" s="131"/>
      <c r="GY173" s="131"/>
      <c r="GZ173" s="131"/>
      <c r="HA173" s="131"/>
      <c r="HB173" s="131"/>
      <c r="HC173" s="131"/>
      <c r="HD173" s="131"/>
      <c r="HE173" s="131"/>
      <c r="HF173" s="131"/>
      <c r="HG173" s="131"/>
      <c r="HH173" s="131"/>
      <c r="HI173" s="131"/>
      <c r="HJ173" s="131"/>
      <c r="HK173" s="131"/>
      <c r="HL173" s="131"/>
      <c r="HM173" s="131"/>
    </row>
    <row r="174" spans="1:221" s="103" customFormat="1" ht="56" x14ac:dyDescent="0.15">
      <c r="A174" s="145" t="s">
        <v>471</v>
      </c>
      <c r="B174" s="45" t="s">
        <v>472</v>
      </c>
      <c r="D174" s="121"/>
      <c r="F174" s="181"/>
      <c r="G174" s="181"/>
      <c r="H174" s="121"/>
      <c r="J174" s="144"/>
      <c r="K174" s="144"/>
      <c r="L174" s="121"/>
      <c r="M174" s="181" t="s">
        <v>156</v>
      </c>
      <c r="P174" s="121"/>
      <c r="T174" s="121"/>
      <c r="U174" s="25" t="s">
        <v>473</v>
      </c>
      <c r="V174" s="25" t="s">
        <v>470</v>
      </c>
      <c r="W174" s="172">
        <v>17094.017094017094</v>
      </c>
      <c r="AA174" s="130"/>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J174" s="131"/>
      <c r="CK174" s="131"/>
      <c r="CL174" s="131"/>
      <c r="CM174" s="131"/>
      <c r="CN174" s="131"/>
      <c r="CO174" s="131"/>
      <c r="CP174" s="131"/>
      <c r="CQ174" s="131"/>
      <c r="CR174" s="131"/>
      <c r="CS174" s="131"/>
      <c r="CT174" s="131"/>
      <c r="CU174" s="131"/>
      <c r="CV174" s="131"/>
      <c r="CW174" s="131"/>
      <c r="CX174" s="131"/>
      <c r="CY174" s="131"/>
      <c r="CZ174" s="131"/>
      <c r="DA174" s="131"/>
      <c r="DB174" s="131"/>
      <c r="DC174" s="131"/>
      <c r="DD174" s="131"/>
      <c r="DE174" s="131"/>
      <c r="DF174" s="131"/>
      <c r="DG174" s="131"/>
      <c r="DH174" s="131"/>
      <c r="DI174" s="131"/>
      <c r="DJ174" s="131"/>
      <c r="DK174" s="131"/>
      <c r="DL174" s="131"/>
      <c r="DM174" s="131"/>
      <c r="DN174" s="131"/>
      <c r="DO174" s="131"/>
      <c r="DP174" s="131"/>
      <c r="DQ174" s="131"/>
      <c r="DR174" s="131"/>
      <c r="DS174" s="131"/>
      <c r="DT174" s="131"/>
      <c r="DU174" s="131"/>
      <c r="DV174" s="131"/>
      <c r="DW174" s="131"/>
      <c r="DX174" s="131"/>
      <c r="DY174" s="131"/>
      <c r="DZ174" s="131"/>
      <c r="EA174" s="131"/>
      <c r="EB174" s="131"/>
      <c r="EC174" s="131"/>
      <c r="ED174" s="131"/>
      <c r="EE174" s="131"/>
      <c r="EF174" s="131"/>
      <c r="EG174" s="131"/>
      <c r="EH174" s="131"/>
      <c r="EI174" s="131"/>
      <c r="EJ174" s="131"/>
      <c r="EK174" s="131"/>
      <c r="EL174" s="131"/>
      <c r="EM174" s="131"/>
      <c r="EN174" s="131"/>
      <c r="EO174" s="131"/>
      <c r="EP174" s="131"/>
      <c r="EQ174" s="131"/>
      <c r="ER174" s="131"/>
      <c r="ES174" s="131"/>
      <c r="ET174" s="131"/>
      <c r="EU174" s="131"/>
      <c r="EV174" s="131"/>
      <c r="EW174" s="131"/>
      <c r="EX174" s="131"/>
      <c r="EY174" s="131"/>
      <c r="EZ174" s="131"/>
      <c r="FA174" s="131"/>
      <c r="FB174" s="131"/>
      <c r="FC174" s="131"/>
      <c r="FD174" s="131"/>
      <c r="FE174" s="131"/>
      <c r="FF174" s="131"/>
      <c r="FG174" s="131"/>
      <c r="FH174" s="131"/>
      <c r="FI174" s="131"/>
      <c r="FJ174" s="131"/>
      <c r="FK174" s="131"/>
      <c r="FL174" s="131"/>
      <c r="FM174" s="131"/>
      <c r="FN174" s="131"/>
      <c r="FO174" s="131"/>
      <c r="FP174" s="131"/>
      <c r="FQ174" s="131"/>
      <c r="FR174" s="131"/>
      <c r="FS174" s="131"/>
      <c r="FT174" s="131"/>
      <c r="FU174" s="131"/>
      <c r="FV174" s="131"/>
      <c r="FW174" s="131"/>
      <c r="FX174" s="131"/>
      <c r="FY174" s="131"/>
      <c r="FZ174" s="131"/>
      <c r="GA174" s="131"/>
      <c r="GB174" s="131"/>
      <c r="GC174" s="131"/>
      <c r="GD174" s="131"/>
      <c r="GE174" s="131"/>
      <c r="GF174" s="131"/>
      <c r="GG174" s="131"/>
      <c r="GH174" s="131"/>
      <c r="GI174" s="131"/>
      <c r="GJ174" s="131"/>
      <c r="GK174" s="131"/>
      <c r="GL174" s="131"/>
      <c r="GM174" s="131"/>
      <c r="GN174" s="131"/>
      <c r="GO174" s="131"/>
      <c r="GP174" s="131"/>
      <c r="GQ174" s="131"/>
      <c r="GR174" s="131"/>
      <c r="GS174" s="131"/>
      <c r="GT174" s="131"/>
      <c r="GU174" s="131"/>
      <c r="GV174" s="131"/>
      <c r="GW174" s="131"/>
      <c r="GX174" s="131"/>
      <c r="GY174" s="131"/>
      <c r="GZ174" s="131"/>
      <c r="HA174" s="131"/>
      <c r="HB174" s="131"/>
      <c r="HC174" s="131"/>
      <c r="HD174" s="131"/>
      <c r="HE174" s="131"/>
      <c r="HF174" s="131"/>
      <c r="HG174" s="131"/>
      <c r="HH174" s="131"/>
      <c r="HI174" s="131"/>
      <c r="HJ174" s="131"/>
      <c r="HK174" s="131"/>
      <c r="HL174" s="131"/>
      <c r="HM174" s="131"/>
    </row>
    <row r="175" spans="1:221" s="83" customFormat="1" ht="22" customHeight="1" x14ac:dyDescent="0.15">
      <c r="A175" s="36" t="s">
        <v>433</v>
      </c>
      <c r="B175" s="23"/>
      <c r="C175" s="23"/>
      <c r="D175" s="23"/>
      <c r="E175" s="23"/>
      <c r="F175" s="23"/>
      <c r="G175" s="23"/>
      <c r="H175" s="23"/>
      <c r="I175" s="23"/>
      <c r="J175" s="23"/>
      <c r="K175" s="23"/>
      <c r="L175" s="23"/>
      <c r="M175" s="23"/>
      <c r="N175" s="23"/>
      <c r="O175" s="23"/>
      <c r="P175" s="23"/>
      <c r="Q175" s="23"/>
      <c r="R175" s="23"/>
      <c r="S175" s="23"/>
      <c r="T175" s="23"/>
      <c r="U175" s="23"/>
      <c r="V175" s="23"/>
      <c r="W175" s="23"/>
      <c r="X175" s="92"/>
      <c r="Y175" s="92"/>
      <c r="Z175" s="93"/>
      <c r="AA175" s="128"/>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129"/>
      <c r="CA175" s="129"/>
      <c r="CB175" s="129"/>
      <c r="CC175" s="129"/>
      <c r="CD175" s="129"/>
      <c r="CE175" s="129"/>
      <c r="CF175" s="129"/>
      <c r="CG175" s="129"/>
      <c r="CH175" s="129"/>
      <c r="CI175" s="129"/>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29"/>
      <c r="DF175" s="129"/>
      <c r="DG175" s="129"/>
      <c r="DH175" s="129"/>
      <c r="DI175" s="129"/>
      <c r="DJ175" s="129"/>
      <c r="DK175" s="129"/>
      <c r="DL175" s="129"/>
      <c r="DM175" s="129"/>
      <c r="DN175" s="129"/>
      <c r="DO175" s="129"/>
      <c r="DP175" s="129"/>
      <c r="DQ175" s="129"/>
      <c r="DR175" s="129"/>
      <c r="DS175" s="129"/>
      <c r="DT175" s="129"/>
      <c r="DU175" s="129"/>
      <c r="DV175" s="129"/>
      <c r="DW175" s="129"/>
      <c r="DX175" s="129"/>
      <c r="DY175" s="129"/>
      <c r="DZ175" s="129"/>
      <c r="EA175" s="129"/>
      <c r="EB175" s="129"/>
      <c r="EC175" s="129"/>
      <c r="ED175" s="129"/>
      <c r="EE175" s="129"/>
      <c r="EF175" s="129"/>
      <c r="EG175" s="129"/>
      <c r="EH175" s="129"/>
      <c r="EI175" s="129"/>
      <c r="EJ175" s="129"/>
      <c r="EK175" s="129"/>
      <c r="EL175" s="129"/>
      <c r="EM175" s="129"/>
      <c r="EN175" s="129"/>
      <c r="EO175" s="129"/>
      <c r="EP175" s="129"/>
      <c r="EQ175" s="129"/>
      <c r="ER175" s="129"/>
      <c r="ES175" s="129"/>
      <c r="ET175" s="129"/>
      <c r="EU175" s="129"/>
      <c r="EV175" s="129"/>
      <c r="EW175" s="129"/>
      <c r="EX175" s="129"/>
      <c r="EY175" s="129"/>
      <c r="EZ175" s="129"/>
      <c r="FA175" s="129"/>
      <c r="FB175" s="129"/>
      <c r="FC175" s="129"/>
      <c r="FD175" s="129"/>
      <c r="FE175" s="129"/>
      <c r="FF175" s="129"/>
      <c r="FG175" s="129"/>
      <c r="FH175" s="129"/>
      <c r="FI175" s="129"/>
      <c r="FJ175" s="129"/>
      <c r="FK175" s="129"/>
      <c r="FL175" s="129"/>
      <c r="FM175" s="129"/>
      <c r="FN175" s="129"/>
      <c r="FO175" s="129"/>
      <c r="FP175" s="129"/>
      <c r="FQ175" s="129"/>
      <c r="FR175" s="129"/>
      <c r="FS175" s="129"/>
      <c r="FT175" s="129"/>
      <c r="FU175" s="129"/>
      <c r="FV175" s="129"/>
      <c r="FW175" s="129"/>
      <c r="FX175" s="129"/>
      <c r="FY175" s="129"/>
      <c r="FZ175" s="129"/>
      <c r="GA175" s="129"/>
      <c r="GB175" s="129"/>
      <c r="GC175" s="129"/>
      <c r="GD175" s="129"/>
      <c r="GE175" s="129"/>
      <c r="GF175" s="129"/>
      <c r="GG175" s="129"/>
      <c r="GH175" s="129"/>
      <c r="GI175" s="129"/>
      <c r="GJ175" s="129"/>
      <c r="GK175" s="129"/>
      <c r="GL175" s="129"/>
      <c r="GM175" s="129"/>
      <c r="GN175" s="129"/>
      <c r="GO175" s="129"/>
      <c r="GP175" s="129"/>
      <c r="GQ175" s="129"/>
      <c r="GR175" s="129"/>
      <c r="GS175" s="129"/>
      <c r="GT175" s="129"/>
      <c r="GU175" s="129"/>
      <c r="GV175" s="129"/>
      <c r="GW175" s="129"/>
      <c r="GX175" s="129"/>
      <c r="GY175" s="129"/>
      <c r="GZ175" s="129"/>
      <c r="HA175" s="129"/>
      <c r="HB175" s="129"/>
      <c r="HC175" s="129"/>
      <c r="HD175" s="129"/>
      <c r="HE175" s="129"/>
      <c r="HF175" s="129"/>
      <c r="HG175" s="129"/>
      <c r="HH175" s="129"/>
      <c r="HI175" s="129"/>
      <c r="HJ175" s="129"/>
      <c r="HK175" s="129"/>
      <c r="HL175" s="129"/>
      <c r="HM175" s="129"/>
    </row>
    <row r="176" spans="1:221" s="103" customFormat="1" ht="58" customHeight="1" x14ac:dyDescent="0.15">
      <c r="A176" s="145" t="s">
        <v>461</v>
      </c>
      <c r="B176" s="25" t="s">
        <v>436</v>
      </c>
      <c r="C176" s="123"/>
      <c r="D176" s="82"/>
      <c r="E176" s="123"/>
      <c r="F176" s="123"/>
      <c r="G176" s="123"/>
      <c r="H176" s="122"/>
      <c r="I176" s="181" t="s">
        <v>156</v>
      </c>
      <c r="J176" s="181" t="s">
        <v>156</v>
      </c>
      <c r="K176" s="181" t="s">
        <v>156</v>
      </c>
      <c r="L176" s="122"/>
      <c r="M176" s="123"/>
      <c r="N176" s="123"/>
      <c r="O176" s="123"/>
      <c r="P176" s="122"/>
      <c r="Q176" s="123"/>
      <c r="R176" s="123"/>
      <c r="S176" s="123"/>
      <c r="T176" s="122"/>
      <c r="U176" s="25" t="s">
        <v>462</v>
      </c>
      <c r="V176" s="25" t="s">
        <v>468</v>
      </c>
      <c r="W176" s="182">
        <v>20512.820512820512</v>
      </c>
      <c r="X176" s="123"/>
      <c r="Y176" s="123"/>
      <c r="Z176" s="124"/>
      <c r="AA176" s="168"/>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31"/>
      <c r="BC176" s="131"/>
      <c r="BD176" s="131"/>
      <c r="BE176" s="131"/>
      <c r="BF176" s="131"/>
      <c r="BG176" s="131"/>
      <c r="BH176" s="131"/>
      <c r="BI176" s="131"/>
      <c r="BJ176" s="131"/>
      <c r="BK176" s="131"/>
      <c r="BL176" s="131"/>
      <c r="BM176" s="131"/>
      <c r="BN176" s="131"/>
      <c r="BO176" s="131"/>
      <c r="BP176" s="131"/>
      <c r="BQ176" s="131"/>
      <c r="BR176" s="131"/>
      <c r="BS176" s="131"/>
      <c r="BT176" s="131"/>
      <c r="BU176" s="131"/>
      <c r="BV176" s="131"/>
      <c r="BW176" s="131"/>
      <c r="BX176" s="131"/>
      <c r="BY176" s="131"/>
      <c r="BZ176" s="131"/>
      <c r="CA176" s="131"/>
      <c r="CB176" s="131"/>
      <c r="CC176" s="131"/>
      <c r="CD176" s="131"/>
      <c r="CE176" s="131"/>
      <c r="CF176" s="131"/>
      <c r="CG176" s="131"/>
      <c r="CH176" s="131"/>
      <c r="CI176" s="131"/>
      <c r="CJ176" s="131"/>
      <c r="CK176" s="131"/>
      <c r="CL176" s="131"/>
      <c r="CM176" s="131"/>
      <c r="CN176" s="131"/>
      <c r="CO176" s="131"/>
      <c r="CP176" s="131"/>
      <c r="CQ176" s="131"/>
      <c r="CR176" s="131"/>
      <c r="CS176" s="131"/>
      <c r="CT176" s="131"/>
      <c r="CU176" s="131"/>
      <c r="CV176" s="131"/>
      <c r="CW176" s="131"/>
      <c r="CX176" s="131"/>
      <c r="CY176" s="131"/>
      <c r="CZ176" s="131"/>
      <c r="DA176" s="131"/>
      <c r="DB176" s="131"/>
      <c r="DC176" s="131"/>
      <c r="DD176" s="131"/>
      <c r="DE176" s="131"/>
      <c r="DF176" s="131"/>
      <c r="DG176" s="131"/>
      <c r="DH176" s="131"/>
      <c r="DI176" s="131"/>
      <c r="DJ176" s="131"/>
      <c r="DK176" s="131"/>
      <c r="DL176" s="131"/>
      <c r="DM176" s="131"/>
      <c r="DN176" s="131"/>
      <c r="DO176" s="131"/>
      <c r="DP176" s="131"/>
      <c r="DQ176" s="131"/>
      <c r="DR176" s="131"/>
      <c r="DS176" s="131"/>
      <c r="DT176" s="131"/>
      <c r="DU176" s="131"/>
      <c r="DV176" s="131"/>
      <c r="DW176" s="131"/>
      <c r="DX176" s="131"/>
      <c r="DY176" s="131"/>
      <c r="DZ176" s="131"/>
      <c r="EA176" s="131"/>
      <c r="EB176" s="131"/>
      <c r="EC176" s="131"/>
      <c r="ED176" s="131"/>
      <c r="EE176" s="131"/>
      <c r="EF176" s="131"/>
      <c r="EG176" s="131"/>
      <c r="EH176" s="131"/>
      <c r="EI176" s="131"/>
      <c r="EJ176" s="131"/>
      <c r="EK176" s="131"/>
      <c r="EL176" s="131"/>
      <c r="EM176" s="131"/>
      <c r="EN176" s="131"/>
      <c r="EO176" s="131"/>
      <c r="EP176" s="131"/>
      <c r="EQ176" s="131"/>
      <c r="ER176" s="131"/>
      <c r="ES176" s="131"/>
      <c r="ET176" s="131"/>
      <c r="EU176" s="131"/>
      <c r="EV176" s="131"/>
      <c r="EW176" s="131"/>
      <c r="EX176" s="131"/>
      <c r="EY176" s="131"/>
      <c r="EZ176" s="131"/>
      <c r="FA176" s="131"/>
      <c r="FB176" s="131"/>
      <c r="FC176" s="131"/>
      <c r="FD176" s="131"/>
      <c r="FE176" s="131"/>
      <c r="FF176" s="131"/>
      <c r="FG176" s="131"/>
      <c r="FH176" s="131"/>
      <c r="FI176" s="131"/>
      <c r="FJ176" s="131"/>
      <c r="FK176" s="131"/>
      <c r="FL176" s="131"/>
      <c r="FM176" s="131"/>
      <c r="FN176" s="131"/>
      <c r="FO176" s="131"/>
      <c r="FP176" s="131"/>
      <c r="FQ176" s="131"/>
      <c r="FR176" s="131"/>
      <c r="FS176" s="131"/>
      <c r="FT176" s="131"/>
      <c r="FU176" s="131"/>
      <c r="FV176" s="131"/>
      <c r="FW176" s="131"/>
      <c r="FX176" s="131"/>
      <c r="FY176" s="131"/>
      <c r="FZ176" s="131"/>
      <c r="GA176" s="131"/>
      <c r="GB176" s="131"/>
      <c r="GC176" s="131"/>
      <c r="GD176" s="131"/>
      <c r="GE176" s="131"/>
      <c r="GF176" s="131"/>
      <c r="GG176" s="131"/>
      <c r="GH176" s="131"/>
      <c r="GI176" s="131"/>
      <c r="GJ176" s="131"/>
      <c r="GK176" s="131"/>
      <c r="GL176" s="131"/>
      <c r="GM176" s="131"/>
      <c r="GN176" s="131"/>
      <c r="GO176" s="131"/>
      <c r="GP176" s="131"/>
      <c r="GQ176" s="131"/>
      <c r="GR176" s="131"/>
      <c r="GS176" s="131"/>
      <c r="GT176" s="131"/>
      <c r="GU176" s="131"/>
      <c r="GV176" s="131"/>
      <c r="GW176" s="131"/>
      <c r="GX176" s="131"/>
      <c r="GY176" s="131"/>
      <c r="GZ176" s="131"/>
      <c r="HA176" s="131"/>
      <c r="HB176" s="131"/>
      <c r="HC176" s="131"/>
      <c r="HD176" s="131"/>
      <c r="HE176" s="131"/>
      <c r="HF176" s="131"/>
      <c r="HG176" s="131"/>
      <c r="HH176" s="131"/>
      <c r="HI176" s="131"/>
      <c r="HJ176" s="131"/>
      <c r="HK176" s="131"/>
      <c r="HL176" s="131"/>
      <c r="HM176" s="131"/>
    </row>
    <row r="177" spans="1:221" s="103" customFormat="1" ht="63" customHeight="1" x14ac:dyDescent="0.15">
      <c r="A177" s="58" t="s">
        <v>347</v>
      </c>
      <c r="B177" s="25" t="s">
        <v>436</v>
      </c>
      <c r="C177" s="123"/>
      <c r="D177" s="82"/>
      <c r="E177" s="123"/>
      <c r="F177" s="181" t="s">
        <v>156</v>
      </c>
      <c r="G177" s="181" t="s">
        <v>156</v>
      </c>
      <c r="H177" s="122"/>
      <c r="I177" s="181" t="s">
        <v>156</v>
      </c>
      <c r="J177" s="144"/>
      <c r="K177" s="123"/>
      <c r="L177" s="122"/>
      <c r="M177" s="123"/>
      <c r="N177" s="123"/>
      <c r="O177" s="123"/>
      <c r="P177" s="122"/>
      <c r="Q177" s="123"/>
      <c r="R177" s="123"/>
      <c r="S177" s="123"/>
      <c r="T177" s="122"/>
      <c r="U177" s="46" t="s">
        <v>333</v>
      </c>
      <c r="V177" s="150" t="s">
        <v>468</v>
      </c>
      <c r="W177" s="182">
        <v>3418.8034188034189</v>
      </c>
      <c r="X177" s="123"/>
      <c r="Y177" s="123"/>
      <c r="Z177" s="124"/>
      <c r="AA177" s="168"/>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131"/>
      <c r="BA177" s="131"/>
      <c r="BB177" s="131"/>
      <c r="BC177" s="131"/>
      <c r="BD177" s="131"/>
      <c r="BE177" s="131"/>
      <c r="BF177" s="131"/>
      <c r="BG177" s="131"/>
      <c r="BH177" s="131"/>
      <c r="BI177" s="131"/>
      <c r="BJ177" s="131"/>
      <c r="BK177" s="131"/>
      <c r="BL177" s="131"/>
      <c r="BM177" s="131"/>
      <c r="BN177" s="131"/>
      <c r="BO177" s="131"/>
      <c r="BP177" s="131"/>
      <c r="BQ177" s="131"/>
      <c r="BR177" s="131"/>
      <c r="BS177" s="131"/>
      <c r="BT177" s="131"/>
      <c r="BU177" s="131"/>
      <c r="BV177" s="131"/>
      <c r="BW177" s="131"/>
      <c r="BX177" s="131"/>
      <c r="BY177" s="131"/>
      <c r="BZ177" s="131"/>
      <c r="CA177" s="131"/>
      <c r="CB177" s="131"/>
      <c r="CC177" s="131"/>
      <c r="CD177" s="131"/>
      <c r="CE177" s="131"/>
      <c r="CF177" s="131"/>
      <c r="CG177" s="131"/>
      <c r="CH177" s="131"/>
      <c r="CI177" s="131"/>
      <c r="CJ177" s="131"/>
      <c r="CK177" s="131"/>
      <c r="CL177" s="131"/>
      <c r="CM177" s="131"/>
      <c r="CN177" s="131"/>
      <c r="CO177" s="131"/>
      <c r="CP177" s="131"/>
      <c r="CQ177" s="131"/>
      <c r="CR177" s="131"/>
      <c r="CS177" s="131"/>
      <c r="CT177" s="131"/>
      <c r="CU177" s="131"/>
      <c r="CV177" s="131"/>
      <c r="CW177" s="131"/>
      <c r="CX177" s="131"/>
      <c r="CY177" s="131"/>
      <c r="CZ177" s="131"/>
      <c r="DA177" s="131"/>
      <c r="DB177" s="131"/>
      <c r="DC177" s="131"/>
      <c r="DD177" s="131"/>
      <c r="DE177" s="131"/>
      <c r="DF177" s="131"/>
      <c r="DG177" s="131"/>
      <c r="DH177" s="131"/>
      <c r="DI177" s="131"/>
      <c r="DJ177" s="131"/>
      <c r="DK177" s="131"/>
      <c r="DL177" s="131"/>
      <c r="DM177" s="131"/>
      <c r="DN177" s="131"/>
      <c r="DO177" s="131"/>
      <c r="DP177" s="131"/>
      <c r="DQ177" s="131"/>
      <c r="DR177" s="131"/>
      <c r="DS177" s="131"/>
      <c r="DT177" s="131"/>
      <c r="DU177" s="131"/>
      <c r="DV177" s="131"/>
      <c r="DW177" s="131"/>
      <c r="DX177" s="131"/>
      <c r="DY177" s="131"/>
      <c r="DZ177" s="131"/>
      <c r="EA177" s="131"/>
      <c r="EB177" s="131"/>
      <c r="EC177" s="131"/>
      <c r="ED177" s="131"/>
      <c r="EE177" s="131"/>
      <c r="EF177" s="131"/>
      <c r="EG177" s="131"/>
      <c r="EH177" s="131"/>
      <c r="EI177" s="131"/>
      <c r="EJ177" s="131"/>
      <c r="EK177" s="131"/>
      <c r="EL177" s="131"/>
      <c r="EM177" s="131"/>
      <c r="EN177" s="131"/>
      <c r="EO177" s="131"/>
      <c r="EP177" s="131"/>
      <c r="EQ177" s="131"/>
      <c r="ER177" s="131"/>
      <c r="ES177" s="131"/>
      <c r="ET177" s="131"/>
      <c r="EU177" s="131"/>
      <c r="EV177" s="131"/>
      <c r="EW177" s="131"/>
      <c r="EX177" s="131"/>
      <c r="EY177" s="131"/>
      <c r="EZ177" s="131"/>
      <c r="FA177" s="131"/>
      <c r="FB177" s="131"/>
      <c r="FC177" s="131"/>
      <c r="FD177" s="131"/>
      <c r="FE177" s="131"/>
      <c r="FF177" s="131"/>
      <c r="FG177" s="131"/>
      <c r="FH177" s="131"/>
      <c r="FI177" s="131"/>
      <c r="FJ177" s="131"/>
      <c r="FK177" s="131"/>
      <c r="FL177" s="131"/>
      <c r="FM177" s="131"/>
      <c r="FN177" s="131"/>
      <c r="FO177" s="131"/>
      <c r="FP177" s="131"/>
      <c r="FQ177" s="131"/>
      <c r="FR177" s="131"/>
      <c r="FS177" s="131"/>
      <c r="FT177" s="131"/>
      <c r="FU177" s="131"/>
      <c r="FV177" s="131"/>
      <c r="FW177" s="131"/>
      <c r="FX177" s="131"/>
      <c r="FY177" s="131"/>
      <c r="FZ177" s="131"/>
      <c r="GA177" s="131"/>
      <c r="GB177" s="131"/>
      <c r="GC177" s="131"/>
      <c r="GD177" s="131"/>
      <c r="GE177" s="131"/>
      <c r="GF177" s="131"/>
      <c r="GG177" s="131"/>
      <c r="GH177" s="131"/>
      <c r="GI177" s="131"/>
      <c r="GJ177" s="131"/>
      <c r="GK177" s="131"/>
      <c r="GL177" s="131"/>
      <c r="GM177" s="131"/>
      <c r="GN177" s="131"/>
      <c r="GO177" s="131"/>
      <c r="GP177" s="131"/>
      <c r="GQ177" s="131"/>
      <c r="GR177" s="131"/>
      <c r="GS177" s="131"/>
      <c r="GT177" s="131"/>
      <c r="GU177" s="131"/>
      <c r="GV177" s="131"/>
      <c r="GW177" s="131"/>
      <c r="GX177" s="131"/>
      <c r="GY177" s="131"/>
      <c r="GZ177" s="131"/>
      <c r="HA177" s="131"/>
      <c r="HB177" s="131"/>
      <c r="HC177" s="131"/>
      <c r="HD177" s="131"/>
      <c r="HE177" s="131"/>
      <c r="HF177" s="131"/>
      <c r="HG177" s="131"/>
      <c r="HH177" s="131"/>
      <c r="HI177" s="131"/>
      <c r="HJ177" s="131"/>
      <c r="HK177" s="131"/>
      <c r="HL177" s="131"/>
      <c r="HM177" s="131"/>
    </row>
    <row r="178" spans="1:221" s="83" customFormat="1" ht="32" customHeight="1" x14ac:dyDescent="0.15">
      <c r="A178" s="36" t="s">
        <v>464</v>
      </c>
      <c r="B178" s="23"/>
      <c r="C178" s="23"/>
      <c r="D178" s="23"/>
      <c r="E178" s="23"/>
      <c r="F178" s="23"/>
      <c r="G178" s="23"/>
      <c r="H178" s="23"/>
      <c r="I178" s="23"/>
      <c r="J178" s="23"/>
      <c r="K178" s="23"/>
      <c r="L178" s="23"/>
      <c r="M178" s="23"/>
      <c r="N178" s="23"/>
      <c r="O178" s="23"/>
      <c r="P178" s="23"/>
      <c r="Q178" s="23"/>
      <c r="R178" s="23"/>
      <c r="S178" s="23"/>
      <c r="T178" s="23"/>
      <c r="U178" s="23"/>
      <c r="V178" s="23"/>
      <c r="W178" s="23"/>
      <c r="X178" s="92"/>
      <c r="Y178" s="92"/>
      <c r="Z178" s="93"/>
      <c r="AA178" s="128"/>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129"/>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29"/>
      <c r="EE178" s="129"/>
      <c r="EF178" s="129"/>
      <c r="EG178" s="129"/>
      <c r="EH178" s="129"/>
      <c r="EI178" s="129"/>
      <c r="EJ178" s="129"/>
      <c r="EK178" s="129"/>
      <c r="EL178" s="129"/>
      <c r="EM178" s="129"/>
      <c r="EN178" s="129"/>
      <c r="EO178" s="129"/>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129"/>
      <c r="GD178" s="129"/>
      <c r="GE178" s="129"/>
      <c r="GF178" s="129"/>
      <c r="GG178" s="129"/>
      <c r="GH178" s="129"/>
      <c r="GI178" s="129"/>
      <c r="GJ178" s="129"/>
      <c r="GK178" s="129"/>
      <c r="GL178" s="129"/>
      <c r="GM178" s="129"/>
      <c r="GN178" s="129"/>
      <c r="GO178" s="129"/>
      <c r="GP178" s="129"/>
      <c r="GQ178" s="129"/>
      <c r="GR178" s="129"/>
      <c r="GS178" s="129"/>
      <c r="GT178" s="129"/>
      <c r="GU178" s="129"/>
      <c r="GV178" s="129"/>
      <c r="GW178" s="129"/>
      <c r="GX178" s="129"/>
      <c r="GY178" s="129"/>
      <c r="GZ178" s="129"/>
      <c r="HA178" s="129"/>
      <c r="HB178" s="129"/>
      <c r="HC178" s="129"/>
      <c r="HD178" s="129"/>
      <c r="HE178" s="129"/>
      <c r="HF178" s="129"/>
      <c r="HG178" s="129"/>
      <c r="HH178" s="129"/>
      <c r="HI178" s="129"/>
      <c r="HJ178" s="129"/>
      <c r="HK178" s="129"/>
      <c r="HL178" s="129"/>
      <c r="HM178" s="129"/>
    </row>
    <row r="179" spans="1:221" s="103" customFormat="1" ht="65" customHeight="1" x14ac:dyDescent="0.15">
      <c r="A179" s="58" t="s">
        <v>349</v>
      </c>
      <c r="B179" s="46" t="s">
        <v>382</v>
      </c>
      <c r="C179" s="123"/>
      <c r="D179" s="82"/>
      <c r="E179" s="123"/>
      <c r="F179" s="123"/>
      <c r="G179" s="123"/>
      <c r="H179" s="122"/>
      <c r="I179" s="181" t="s">
        <v>156</v>
      </c>
      <c r="J179" s="181" t="s">
        <v>156</v>
      </c>
      <c r="K179" s="123"/>
      <c r="L179" s="122"/>
      <c r="M179" s="123"/>
      <c r="N179" s="123"/>
      <c r="O179" s="123"/>
      <c r="P179" s="122"/>
      <c r="Q179" s="123"/>
      <c r="R179" s="123"/>
      <c r="S179" s="123"/>
      <c r="T179" s="122"/>
      <c r="U179" s="58" t="s">
        <v>348</v>
      </c>
      <c r="V179" s="170" t="s">
        <v>466</v>
      </c>
      <c r="W179" s="182">
        <v>25641.025641025641</v>
      </c>
      <c r="X179" s="123"/>
      <c r="Y179" s="123"/>
      <c r="Z179" s="124"/>
      <c r="AA179" s="168"/>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131"/>
      <c r="DO179" s="131"/>
      <c r="DP179" s="131"/>
      <c r="DQ179" s="131"/>
      <c r="DR179" s="131"/>
      <c r="DS179" s="131"/>
      <c r="DT179" s="131"/>
      <c r="DU179" s="131"/>
      <c r="DV179" s="131"/>
      <c r="DW179" s="131"/>
      <c r="DX179" s="131"/>
      <c r="DY179" s="131"/>
      <c r="DZ179" s="131"/>
      <c r="EA179" s="131"/>
      <c r="EB179" s="131"/>
      <c r="EC179" s="131"/>
      <c r="ED179" s="131"/>
      <c r="EE179" s="131"/>
      <c r="EF179" s="131"/>
      <c r="EG179" s="131"/>
      <c r="EH179" s="131"/>
      <c r="EI179" s="131"/>
      <c r="EJ179" s="131"/>
      <c r="EK179" s="131"/>
      <c r="EL179" s="131"/>
      <c r="EM179" s="131"/>
      <c r="EN179" s="131"/>
      <c r="EO179" s="131"/>
      <c r="EP179" s="131"/>
      <c r="EQ179" s="131"/>
      <c r="ER179" s="131"/>
      <c r="ES179" s="131"/>
      <c r="ET179" s="131"/>
      <c r="EU179" s="131"/>
      <c r="EV179" s="131"/>
      <c r="EW179" s="131"/>
      <c r="EX179" s="131"/>
      <c r="EY179" s="131"/>
      <c r="EZ179" s="131"/>
      <c r="FA179" s="131"/>
      <c r="FB179" s="131"/>
      <c r="FC179" s="131"/>
      <c r="FD179" s="131"/>
      <c r="FE179" s="131"/>
      <c r="FF179" s="131"/>
      <c r="FG179" s="131"/>
      <c r="FH179" s="131"/>
      <c r="FI179" s="131"/>
      <c r="FJ179" s="131"/>
      <c r="FK179" s="131"/>
      <c r="FL179" s="131"/>
      <c r="FM179" s="131"/>
      <c r="FN179" s="131"/>
      <c r="FO179" s="131"/>
      <c r="FP179" s="131"/>
      <c r="FQ179" s="131"/>
      <c r="FR179" s="131"/>
      <c r="FS179" s="131"/>
      <c r="FT179" s="131"/>
      <c r="FU179" s="131"/>
      <c r="FV179" s="131"/>
      <c r="FW179" s="131"/>
      <c r="FX179" s="131"/>
      <c r="FY179" s="131"/>
      <c r="FZ179" s="131"/>
      <c r="GA179" s="131"/>
      <c r="GB179" s="131"/>
      <c r="GC179" s="131"/>
      <c r="GD179" s="131"/>
      <c r="GE179" s="131"/>
      <c r="GF179" s="131"/>
      <c r="GG179" s="131"/>
      <c r="GH179" s="131"/>
      <c r="GI179" s="131"/>
      <c r="GJ179" s="131"/>
      <c r="GK179" s="131"/>
      <c r="GL179" s="131"/>
      <c r="GM179" s="131"/>
      <c r="GN179" s="131"/>
      <c r="GO179" s="131"/>
      <c r="GP179" s="131"/>
      <c r="GQ179" s="131"/>
      <c r="GR179" s="131"/>
      <c r="GS179" s="131"/>
      <c r="GT179" s="131"/>
      <c r="GU179" s="131"/>
      <c r="GV179" s="131"/>
      <c r="GW179" s="131"/>
      <c r="GX179" s="131"/>
      <c r="GY179" s="131"/>
      <c r="GZ179" s="131"/>
      <c r="HA179" s="131"/>
      <c r="HB179" s="131"/>
      <c r="HC179" s="131"/>
      <c r="HD179" s="131"/>
      <c r="HE179" s="131"/>
      <c r="HF179" s="131"/>
      <c r="HG179" s="131"/>
      <c r="HH179" s="131"/>
      <c r="HI179" s="131"/>
      <c r="HJ179" s="131"/>
      <c r="HK179" s="131"/>
      <c r="HL179" s="131"/>
      <c r="HM179" s="131"/>
    </row>
    <row r="180" spans="1:221" s="103" customFormat="1" ht="202" customHeight="1" x14ac:dyDescent="0.15">
      <c r="A180" s="58" t="s">
        <v>438</v>
      </c>
      <c r="B180" s="46" t="s">
        <v>439</v>
      </c>
      <c r="C180" s="123"/>
      <c r="D180" s="82"/>
      <c r="E180" s="123"/>
      <c r="F180" s="123"/>
      <c r="G180" s="123"/>
      <c r="H180" s="122"/>
      <c r="I180" s="181" t="s">
        <v>156</v>
      </c>
      <c r="J180" s="181" t="s">
        <v>156</v>
      </c>
      <c r="K180" s="181" t="s">
        <v>156</v>
      </c>
      <c r="L180" s="122"/>
      <c r="M180" s="123"/>
      <c r="N180" s="123"/>
      <c r="O180" s="123"/>
      <c r="P180" s="122"/>
      <c r="Q180" s="123"/>
      <c r="R180" s="123"/>
      <c r="S180" s="123"/>
      <c r="T180" s="122"/>
      <c r="U180" s="58" t="s">
        <v>440</v>
      </c>
      <c r="V180" s="170" t="s">
        <v>466</v>
      </c>
      <c r="W180" s="182">
        <v>17094.017094017094</v>
      </c>
      <c r="X180" s="123"/>
      <c r="Y180" s="123"/>
      <c r="Z180" s="124"/>
      <c r="AA180" s="168"/>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131"/>
      <c r="DO180" s="131"/>
      <c r="DP180" s="131"/>
      <c r="DQ180" s="131"/>
      <c r="DR180" s="131"/>
      <c r="DS180" s="131"/>
      <c r="DT180" s="131"/>
      <c r="DU180" s="131"/>
      <c r="DV180" s="131"/>
      <c r="DW180" s="131"/>
      <c r="DX180" s="131"/>
      <c r="DY180" s="131"/>
      <c r="DZ180" s="131"/>
      <c r="EA180" s="131"/>
      <c r="EB180" s="131"/>
      <c r="EC180" s="131"/>
      <c r="ED180" s="131"/>
      <c r="EE180" s="131"/>
      <c r="EF180" s="131"/>
      <c r="EG180" s="131"/>
      <c r="EH180" s="131"/>
      <c r="EI180" s="131"/>
      <c r="EJ180" s="131"/>
      <c r="EK180" s="131"/>
      <c r="EL180" s="131"/>
      <c r="EM180" s="131"/>
      <c r="EN180" s="131"/>
      <c r="EO180" s="131"/>
      <c r="EP180" s="131"/>
      <c r="EQ180" s="131"/>
      <c r="ER180" s="131"/>
      <c r="ES180" s="131"/>
      <c r="ET180" s="131"/>
      <c r="EU180" s="131"/>
      <c r="EV180" s="131"/>
      <c r="EW180" s="131"/>
      <c r="EX180" s="131"/>
      <c r="EY180" s="131"/>
      <c r="EZ180" s="131"/>
      <c r="FA180" s="131"/>
      <c r="FB180" s="131"/>
      <c r="FC180" s="131"/>
      <c r="FD180" s="131"/>
      <c r="FE180" s="131"/>
      <c r="FF180" s="131"/>
      <c r="FG180" s="131"/>
      <c r="FH180" s="131"/>
      <c r="FI180" s="131"/>
      <c r="FJ180" s="131"/>
      <c r="FK180" s="131"/>
      <c r="FL180" s="131"/>
      <c r="FM180" s="131"/>
      <c r="FN180" s="131"/>
      <c r="FO180" s="131"/>
      <c r="FP180" s="131"/>
      <c r="FQ180" s="131"/>
      <c r="FR180" s="131"/>
      <c r="FS180" s="131"/>
      <c r="FT180" s="131"/>
      <c r="FU180" s="131"/>
      <c r="FV180" s="131"/>
      <c r="FW180" s="131"/>
      <c r="FX180" s="131"/>
      <c r="FY180" s="131"/>
      <c r="FZ180" s="131"/>
      <c r="GA180" s="131"/>
      <c r="GB180" s="131"/>
      <c r="GC180" s="131"/>
      <c r="GD180" s="131"/>
      <c r="GE180" s="131"/>
      <c r="GF180" s="131"/>
      <c r="GG180" s="131"/>
      <c r="GH180" s="131"/>
      <c r="GI180" s="131"/>
      <c r="GJ180" s="131"/>
      <c r="GK180" s="131"/>
      <c r="GL180" s="131"/>
      <c r="GM180" s="131"/>
      <c r="GN180" s="131"/>
      <c r="GO180" s="131"/>
      <c r="GP180" s="131"/>
      <c r="GQ180" s="131"/>
      <c r="GR180" s="131"/>
      <c r="GS180" s="131"/>
      <c r="GT180" s="131"/>
      <c r="GU180" s="131"/>
      <c r="GV180" s="131"/>
      <c r="GW180" s="131"/>
      <c r="GX180" s="131"/>
      <c r="GY180" s="131"/>
      <c r="GZ180" s="131"/>
      <c r="HA180" s="131"/>
      <c r="HB180" s="131"/>
      <c r="HC180" s="131"/>
      <c r="HD180" s="131"/>
      <c r="HE180" s="131"/>
      <c r="HF180" s="131"/>
      <c r="HG180" s="131"/>
      <c r="HH180" s="131"/>
      <c r="HI180" s="131"/>
      <c r="HJ180" s="131"/>
      <c r="HK180" s="131"/>
      <c r="HL180" s="131"/>
      <c r="HM180" s="131"/>
    </row>
    <row r="181" spans="1:221" s="55" customFormat="1" ht="28" customHeight="1" x14ac:dyDescent="0.15">
      <c r="A181" s="36" t="s">
        <v>465</v>
      </c>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52"/>
      <c r="Z181" s="24" t="s">
        <v>133</v>
      </c>
    </row>
    <row r="182" spans="1:221" s="103" customFormat="1" ht="91" customHeight="1" x14ac:dyDescent="0.15">
      <c r="A182" s="45" t="s">
        <v>240</v>
      </c>
      <c r="B182" s="25" t="s">
        <v>249</v>
      </c>
      <c r="D182" s="82"/>
      <c r="E182" s="123"/>
      <c r="F182" s="123"/>
      <c r="G182" s="123"/>
      <c r="H182" s="122"/>
      <c r="I182" s="144"/>
      <c r="J182" s="144"/>
      <c r="K182" s="144"/>
      <c r="L182" s="122"/>
      <c r="M182" s="181" t="s">
        <v>156</v>
      </c>
      <c r="N182" s="123"/>
      <c r="O182" s="123"/>
      <c r="P182" s="122"/>
      <c r="Q182" s="123"/>
      <c r="R182" s="123"/>
      <c r="S182" s="123"/>
      <c r="T182" s="122"/>
      <c r="U182" s="25" t="s">
        <v>153</v>
      </c>
      <c r="V182" s="170"/>
      <c r="W182" s="182"/>
      <c r="X182" s="123"/>
      <c r="Y182" s="182">
        <f>12348.3704*1.15</f>
        <v>14200.625959999999</v>
      </c>
      <c r="Z182" s="124"/>
      <c r="AA182" s="168"/>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131"/>
      <c r="BA182" s="131"/>
      <c r="BB182" s="131"/>
      <c r="BC182" s="131"/>
      <c r="BD182" s="131"/>
      <c r="BE182" s="131"/>
      <c r="BF182" s="131"/>
      <c r="BG182" s="131"/>
      <c r="BH182" s="131"/>
      <c r="BI182" s="131"/>
      <c r="BJ182" s="131"/>
      <c r="BK182" s="131"/>
      <c r="BL182" s="131"/>
      <c r="BM182" s="131"/>
      <c r="BN182" s="131"/>
      <c r="BO182" s="131"/>
      <c r="BP182" s="131"/>
      <c r="BQ182" s="131"/>
      <c r="BR182" s="131"/>
      <c r="BS182" s="131"/>
      <c r="BT182" s="131"/>
      <c r="BU182" s="131"/>
      <c r="BV182" s="131"/>
      <c r="BW182" s="131"/>
      <c r="BX182" s="131"/>
      <c r="BY182" s="131"/>
      <c r="BZ182" s="131"/>
      <c r="CA182" s="131"/>
      <c r="CB182" s="131"/>
      <c r="CC182" s="131"/>
      <c r="CD182" s="131"/>
      <c r="CE182" s="131"/>
      <c r="CF182" s="131"/>
      <c r="CG182" s="131"/>
      <c r="CH182" s="131"/>
      <c r="CI182" s="131"/>
      <c r="CJ182" s="131"/>
      <c r="CK182" s="131"/>
      <c r="CL182" s="131"/>
      <c r="CM182" s="131"/>
      <c r="CN182" s="131"/>
      <c r="CO182" s="131"/>
      <c r="CP182" s="131"/>
      <c r="CQ182" s="131"/>
      <c r="CR182" s="131"/>
      <c r="CS182" s="131"/>
      <c r="CT182" s="131"/>
      <c r="CU182" s="131"/>
      <c r="CV182" s="131"/>
      <c r="CW182" s="131"/>
      <c r="CX182" s="131"/>
      <c r="CY182" s="131"/>
      <c r="CZ182" s="131"/>
      <c r="DA182" s="131"/>
      <c r="DB182" s="131"/>
      <c r="DC182" s="131"/>
      <c r="DD182" s="131"/>
      <c r="DE182" s="131"/>
      <c r="DF182" s="131"/>
      <c r="DG182" s="131"/>
      <c r="DH182" s="131"/>
      <c r="DI182" s="131"/>
      <c r="DJ182" s="131"/>
      <c r="DK182" s="131"/>
      <c r="DL182" s="131"/>
      <c r="DM182" s="131"/>
      <c r="DN182" s="131"/>
      <c r="DO182" s="131"/>
      <c r="DP182" s="131"/>
      <c r="DQ182" s="131"/>
      <c r="DR182" s="131"/>
      <c r="DS182" s="131"/>
      <c r="DT182" s="131"/>
      <c r="DU182" s="131"/>
      <c r="DV182" s="131"/>
      <c r="DW182" s="131"/>
      <c r="DX182" s="131"/>
      <c r="DY182" s="131"/>
      <c r="DZ182" s="131"/>
      <c r="EA182" s="131"/>
      <c r="EB182" s="131"/>
      <c r="EC182" s="131"/>
      <c r="ED182" s="131"/>
      <c r="EE182" s="131"/>
      <c r="EF182" s="131"/>
      <c r="EG182" s="131"/>
      <c r="EH182" s="131"/>
      <c r="EI182" s="131"/>
      <c r="EJ182" s="131"/>
      <c r="EK182" s="131"/>
      <c r="EL182" s="131"/>
      <c r="EM182" s="131"/>
      <c r="EN182" s="131"/>
      <c r="EO182" s="131"/>
      <c r="EP182" s="131"/>
      <c r="EQ182" s="131"/>
      <c r="ER182" s="131"/>
      <c r="ES182" s="131"/>
      <c r="ET182" s="131"/>
      <c r="EU182" s="131"/>
      <c r="EV182" s="131"/>
      <c r="EW182" s="131"/>
      <c r="EX182" s="131"/>
      <c r="EY182" s="131"/>
      <c r="EZ182" s="131"/>
      <c r="FA182" s="131"/>
      <c r="FB182" s="131"/>
      <c r="FC182" s="131"/>
      <c r="FD182" s="131"/>
      <c r="FE182" s="131"/>
      <c r="FF182" s="131"/>
      <c r="FG182" s="131"/>
      <c r="FH182" s="131"/>
      <c r="FI182" s="131"/>
      <c r="FJ182" s="131"/>
      <c r="FK182" s="131"/>
      <c r="FL182" s="131"/>
      <c r="FM182" s="131"/>
      <c r="FN182" s="131"/>
      <c r="FO182" s="131"/>
      <c r="FP182" s="131"/>
      <c r="FQ182" s="131"/>
      <c r="FR182" s="131"/>
      <c r="FS182" s="131"/>
      <c r="FT182" s="131"/>
      <c r="FU182" s="131"/>
      <c r="FV182" s="131"/>
      <c r="FW182" s="131"/>
      <c r="FX182" s="131"/>
      <c r="FY182" s="131"/>
      <c r="FZ182" s="131"/>
      <c r="GA182" s="131"/>
      <c r="GB182" s="131"/>
      <c r="GC182" s="131"/>
      <c r="GD182" s="131"/>
      <c r="GE182" s="131"/>
      <c r="GF182" s="131"/>
      <c r="GG182" s="131"/>
      <c r="GH182" s="131"/>
      <c r="GI182" s="131"/>
      <c r="GJ182" s="131"/>
      <c r="GK182" s="131"/>
      <c r="GL182" s="131"/>
      <c r="GM182" s="131"/>
      <c r="GN182" s="131"/>
      <c r="GO182" s="131"/>
      <c r="GP182" s="131"/>
      <c r="GQ182" s="131"/>
      <c r="GR182" s="131"/>
      <c r="GS182" s="131"/>
      <c r="GT182" s="131"/>
      <c r="GU182" s="131"/>
      <c r="GV182" s="131"/>
      <c r="GW182" s="131"/>
      <c r="GX182" s="131"/>
      <c r="GY182" s="131"/>
      <c r="GZ182" s="131"/>
      <c r="HA182" s="131"/>
      <c r="HB182" s="131"/>
      <c r="HC182" s="131"/>
      <c r="HD182" s="131"/>
      <c r="HE182" s="131"/>
      <c r="HF182" s="131"/>
      <c r="HG182" s="131"/>
      <c r="HH182" s="131"/>
      <c r="HI182" s="131"/>
      <c r="HJ182" s="131"/>
      <c r="HK182" s="131"/>
      <c r="HL182" s="131"/>
      <c r="HM182" s="131"/>
    </row>
    <row r="183" spans="1:221" s="103" customFormat="1" ht="77" customHeight="1" x14ac:dyDescent="0.15">
      <c r="A183" s="45" t="s">
        <v>313</v>
      </c>
      <c r="B183" s="25" t="s">
        <v>204</v>
      </c>
      <c r="D183" s="82"/>
      <c r="E183" s="123"/>
      <c r="F183" s="181" t="s">
        <v>156</v>
      </c>
      <c r="G183" s="181" t="s">
        <v>156</v>
      </c>
      <c r="H183" s="175"/>
      <c r="I183" s="181" t="s">
        <v>156</v>
      </c>
      <c r="J183" s="181" t="s">
        <v>156</v>
      </c>
      <c r="K183" s="181" t="s">
        <v>156</v>
      </c>
      <c r="L183" s="175"/>
      <c r="M183" s="181" t="s">
        <v>156</v>
      </c>
      <c r="N183" s="181" t="s">
        <v>156</v>
      </c>
      <c r="O183" s="181" t="s">
        <v>156</v>
      </c>
      <c r="P183" s="175"/>
      <c r="Q183" s="181" t="s">
        <v>156</v>
      </c>
      <c r="R183" s="181" t="s">
        <v>156</v>
      </c>
      <c r="S183" s="181" t="s">
        <v>156</v>
      </c>
      <c r="T183" s="122"/>
      <c r="U183" s="25" t="s">
        <v>92</v>
      </c>
      <c r="V183" s="170"/>
      <c r="W183" s="182"/>
      <c r="X183" s="123"/>
      <c r="Y183" s="172">
        <v>17531.554499999998</v>
      </c>
      <c r="Z183" s="124"/>
      <c r="AA183" s="168"/>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131"/>
      <c r="BA183" s="131"/>
      <c r="BB183" s="131"/>
      <c r="BC183" s="131"/>
      <c r="BD183" s="131"/>
      <c r="BE183" s="131"/>
      <c r="BF183" s="131"/>
      <c r="BG183" s="131"/>
      <c r="BH183" s="131"/>
      <c r="BI183" s="131"/>
      <c r="BJ183" s="131"/>
      <c r="BK183" s="131"/>
      <c r="BL183" s="131"/>
      <c r="BM183" s="131"/>
      <c r="BN183" s="131"/>
      <c r="BO183" s="131"/>
      <c r="BP183" s="131"/>
      <c r="BQ183" s="131"/>
      <c r="BR183" s="131"/>
      <c r="BS183" s="131"/>
      <c r="BT183" s="131"/>
      <c r="BU183" s="131"/>
      <c r="BV183" s="131"/>
      <c r="BW183" s="131"/>
      <c r="BX183" s="131"/>
      <c r="BY183" s="131"/>
      <c r="BZ183" s="131"/>
      <c r="CA183" s="131"/>
      <c r="CB183" s="131"/>
      <c r="CC183" s="131"/>
      <c r="CD183" s="131"/>
      <c r="CE183" s="131"/>
      <c r="CF183" s="131"/>
      <c r="CG183" s="131"/>
      <c r="CH183" s="131"/>
      <c r="CI183" s="131"/>
      <c r="CJ183" s="131"/>
      <c r="CK183" s="131"/>
      <c r="CL183" s="131"/>
      <c r="CM183" s="131"/>
      <c r="CN183" s="131"/>
      <c r="CO183" s="131"/>
      <c r="CP183" s="131"/>
      <c r="CQ183" s="131"/>
      <c r="CR183" s="131"/>
      <c r="CS183" s="131"/>
      <c r="CT183" s="131"/>
      <c r="CU183" s="131"/>
      <c r="CV183" s="131"/>
      <c r="CW183" s="131"/>
      <c r="CX183" s="131"/>
      <c r="CY183" s="131"/>
      <c r="CZ183" s="131"/>
      <c r="DA183" s="131"/>
      <c r="DB183" s="131"/>
      <c r="DC183" s="131"/>
      <c r="DD183" s="131"/>
      <c r="DE183" s="131"/>
      <c r="DF183" s="131"/>
      <c r="DG183" s="131"/>
      <c r="DH183" s="131"/>
      <c r="DI183" s="131"/>
      <c r="DJ183" s="131"/>
      <c r="DK183" s="131"/>
      <c r="DL183" s="131"/>
      <c r="DM183" s="131"/>
      <c r="DN183" s="131"/>
      <c r="DO183" s="131"/>
      <c r="DP183" s="131"/>
      <c r="DQ183" s="131"/>
      <c r="DR183" s="131"/>
      <c r="DS183" s="131"/>
      <c r="DT183" s="131"/>
      <c r="DU183" s="131"/>
      <c r="DV183" s="131"/>
      <c r="DW183" s="131"/>
      <c r="DX183" s="131"/>
      <c r="DY183" s="131"/>
      <c r="DZ183" s="131"/>
      <c r="EA183" s="131"/>
      <c r="EB183" s="131"/>
      <c r="EC183" s="131"/>
      <c r="ED183" s="131"/>
      <c r="EE183" s="131"/>
      <c r="EF183" s="131"/>
      <c r="EG183" s="131"/>
      <c r="EH183" s="131"/>
      <c r="EI183" s="131"/>
      <c r="EJ183" s="131"/>
      <c r="EK183" s="131"/>
      <c r="EL183" s="131"/>
      <c r="EM183" s="131"/>
      <c r="EN183" s="131"/>
      <c r="EO183" s="131"/>
      <c r="EP183" s="131"/>
      <c r="EQ183" s="131"/>
      <c r="ER183" s="131"/>
      <c r="ES183" s="131"/>
      <c r="ET183" s="131"/>
      <c r="EU183" s="131"/>
      <c r="EV183" s="131"/>
      <c r="EW183" s="131"/>
      <c r="EX183" s="131"/>
      <c r="EY183" s="131"/>
      <c r="EZ183" s="131"/>
      <c r="FA183" s="131"/>
      <c r="FB183" s="131"/>
      <c r="FC183" s="131"/>
      <c r="FD183" s="131"/>
      <c r="FE183" s="131"/>
      <c r="FF183" s="131"/>
      <c r="FG183" s="131"/>
      <c r="FH183" s="131"/>
      <c r="FI183" s="131"/>
      <c r="FJ183" s="131"/>
      <c r="FK183" s="131"/>
      <c r="FL183" s="131"/>
      <c r="FM183" s="131"/>
      <c r="FN183" s="131"/>
      <c r="FO183" s="131"/>
      <c r="FP183" s="131"/>
      <c r="FQ183" s="131"/>
      <c r="FR183" s="131"/>
      <c r="FS183" s="131"/>
      <c r="FT183" s="131"/>
      <c r="FU183" s="131"/>
      <c r="FV183" s="131"/>
      <c r="FW183" s="131"/>
      <c r="FX183" s="131"/>
      <c r="FY183" s="131"/>
      <c r="FZ183" s="131"/>
      <c r="GA183" s="131"/>
      <c r="GB183" s="131"/>
      <c r="GC183" s="131"/>
      <c r="GD183" s="131"/>
      <c r="GE183" s="131"/>
      <c r="GF183" s="131"/>
      <c r="GG183" s="131"/>
      <c r="GH183" s="131"/>
      <c r="GI183" s="131"/>
      <c r="GJ183" s="131"/>
      <c r="GK183" s="131"/>
      <c r="GL183" s="131"/>
      <c r="GM183" s="131"/>
      <c r="GN183" s="131"/>
      <c r="GO183" s="131"/>
      <c r="GP183" s="131"/>
      <c r="GQ183" s="131"/>
      <c r="GR183" s="131"/>
      <c r="GS183" s="131"/>
      <c r="GT183" s="131"/>
      <c r="GU183" s="131"/>
      <c r="GV183" s="131"/>
      <c r="GW183" s="131"/>
      <c r="GX183" s="131"/>
      <c r="GY183" s="131"/>
      <c r="GZ183" s="131"/>
      <c r="HA183" s="131"/>
      <c r="HB183" s="131"/>
      <c r="HC183" s="131"/>
      <c r="HD183" s="131"/>
      <c r="HE183" s="131"/>
      <c r="HF183" s="131"/>
      <c r="HG183" s="131"/>
      <c r="HH183" s="131"/>
      <c r="HI183" s="131"/>
      <c r="HJ183" s="131"/>
      <c r="HK183" s="131"/>
      <c r="HL183" s="131"/>
      <c r="HM183" s="131"/>
    </row>
    <row r="184" spans="1:221" s="106" customFormat="1" ht="14" x14ac:dyDescent="0.15">
      <c r="A184" s="132" t="s">
        <v>178</v>
      </c>
      <c r="C184" s="185">
        <f>SUM(C11:C183)</f>
        <v>0</v>
      </c>
      <c r="D184" s="186"/>
      <c r="E184" s="301"/>
      <c r="F184" s="301"/>
      <c r="G184" s="301"/>
      <c r="H184" s="301"/>
      <c r="I184" s="301"/>
      <c r="J184" s="301"/>
      <c r="K184" s="301"/>
      <c r="L184" s="301"/>
      <c r="M184" s="301"/>
      <c r="N184" s="301"/>
      <c r="O184" s="301"/>
      <c r="P184" s="301"/>
      <c r="Q184" s="301"/>
      <c r="R184" s="301"/>
      <c r="S184" s="301"/>
      <c r="V184" s="162"/>
      <c r="W184" s="231">
        <f>SUM(W11:W183)</f>
        <v>3982775.1448289733</v>
      </c>
      <c r="X184" s="231">
        <f>SUM(X11:X183)</f>
        <v>354500</v>
      </c>
      <c r="Y184" s="231">
        <f>SUM(Y11:Y183)</f>
        <v>745929.79522349313</v>
      </c>
      <c r="AA184" s="130"/>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c r="BC184" s="131"/>
      <c r="BD184" s="131"/>
      <c r="BE184" s="131"/>
      <c r="BF184" s="131"/>
      <c r="BG184" s="131"/>
      <c r="BH184" s="131"/>
      <c r="BI184" s="131"/>
      <c r="BJ184" s="131"/>
      <c r="BK184" s="131"/>
      <c r="BL184" s="131"/>
      <c r="BM184" s="131"/>
      <c r="BN184" s="131"/>
      <c r="BO184" s="131"/>
      <c r="BP184" s="131"/>
      <c r="BQ184" s="131"/>
      <c r="BR184" s="131"/>
      <c r="BS184" s="131"/>
      <c r="BT184" s="131"/>
      <c r="BU184" s="131"/>
      <c r="BV184" s="131"/>
      <c r="BW184" s="131"/>
      <c r="BX184" s="131"/>
      <c r="BY184" s="131"/>
      <c r="BZ184" s="131"/>
      <c r="CA184" s="131"/>
      <c r="CB184" s="131"/>
      <c r="CC184" s="131"/>
      <c r="CD184" s="131"/>
      <c r="CE184" s="131"/>
      <c r="CF184" s="131"/>
      <c r="CG184" s="131"/>
      <c r="CH184" s="131"/>
      <c r="CI184" s="131"/>
      <c r="CJ184" s="131"/>
      <c r="CK184" s="131"/>
      <c r="CL184" s="131"/>
      <c r="CM184" s="131"/>
      <c r="CN184" s="131"/>
      <c r="CO184" s="131"/>
      <c r="CP184" s="131"/>
      <c r="CQ184" s="131"/>
      <c r="CR184" s="131"/>
      <c r="CS184" s="131"/>
      <c r="CT184" s="131"/>
      <c r="CU184" s="131"/>
      <c r="CV184" s="131"/>
      <c r="CW184" s="131"/>
      <c r="CX184" s="131"/>
      <c r="CY184" s="131"/>
      <c r="CZ184" s="131"/>
      <c r="DA184" s="131"/>
      <c r="DB184" s="131"/>
      <c r="DC184" s="131"/>
      <c r="DD184" s="131"/>
      <c r="DE184" s="131"/>
      <c r="DF184" s="131"/>
      <c r="DG184" s="131"/>
      <c r="DH184" s="131"/>
      <c r="DI184" s="131"/>
      <c r="DJ184" s="131"/>
      <c r="DK184" s="131"/>
      <c r="DL184" s="131"/>
      <c r="DM184" s="131"/>
      <c r="DN184" s="131"/>
      <c r="DO184" s="131"/>
      <c r="DP184" s="131"/>
      <c r="DQ184" s="131"/>
      <c r="DR184" s="131"/>
      <c r="DS184" s="131"/>
      <c r="DT184" s="131"/>
      <c r="DU184" s="131"/>
      <c r="DV184" s="131"/>
      <c r="DW184" s="131"/>
      <c r="DX184" s="131"/>
      <c r="DY184" s="131"/>
      <c r="DZ184" s="131"/>
      <c r="EA184" s="131"/>
      <c r="EB184" s="131"/>
      <c r="EC184" s="131"/>
      <c r="ED184" s="131"/>
      <c r="EE184" s="131"/>
      <c r="EF184" s="131"/>
      <c r="EG184" s="131"/>
      <c r="EH184" s="131"/>
      <c r="EI184" s="131"/>
      <c r="EJ184" s="131"/>
      <c r="EK184" s="131"/>
      <c r="EL184" s="131"/>
      <c r="EM184" s="131"/>
      <c r="EN184" s="131"/>
      <c r="EO184" s="131"/>
      <c r="EP184" s="131"/>
      <c r="EQ184" s="131"/>
      <c r="ER184" s="131"/>
      <c r="ES184" s="131"/>
      <c r="ET184" s="131"/>
      <c r="EU184" s="131"/>
      <c r="EV184" s="131"/>
      <c r="EW184" s="131"/>
      <c r="EX184" s="131"/>
      <c r="EY184" s="131"/>
      <c r="EZ184" s="131"/>
      <c r="FA184" s="131"/>
      <c r="FB184" s="131"/>
      <c r="FC184" s="131"/>
      <c r="FD184" s="131"/>
      <c r="FE184" s="131"/>
      <c r="FF184" s="131"/>
      <c r="FG184" s="131"/>
      <c r="FH184" s="131"/>
      <c r="FI184" s="131"/>
      <c r="FJ184" s="131"/>
      <c r="FK184" s="131"/>
      <c r="FL184" s="131"/>
      <c r="FM184" s="131"/>
      <c r="FN184" s="131"/>
      <c r="FO184" s="131"/>
      <c r="FP184" s="131"/>
      <c r="FQ184" s="131"/>
      <c r="FR184" s="131"/>
      <c r="FS184" s="131"/>
      <c r="FT184" s="131"/>
      <c r="FU184" s="131"/>
      <c r="FV184" s="131"/>
      <c r="FW184" s="131"/>
      <c r="FX184" s="131"/>
      <c r="FY184" s="131"/>
      <c r="FZ184" s="131"/>
      <c r="GA184" s="131"/>
      <c r="GB184" s="131"/>
      <c r="GC184" s="131"/>
      <c r="GD184" s="131"/>
      <c r="GE184" s="131"/>
      <c r="GF184" s="131"/>
      <c r="GG184" s="131"/>
      <c r="GH184" s="131"/>
      <c r="GI184" s="131"/>
      <c r="GJ184" s="131"/>
      <c r="GK184" s="131"/>
      <c r="GL184" s="131"/>
      <c r="GM184" s="131"/>
      <c r="GN184" s="131"/>
      <c r="GO184" s="131"/>
      <c r="GP184" s="131"/>
      <c r="GQ184" s="131"/>
      <c r="GR184" s="131"/>
      <c r="GS184" s="131"/>
      <c r="GT184" s="131"/>
      <c r="GU184" s="131"/>
      <c r="GV184" s="131"/>
      <c r="GW184" s="131"/>
      <c r="GX184" s="131"/>
      <c r="GY184" s="131"/>
      <c r="GZ184" s="131"/>
      <c r="HA184" s="131"/>
      <c r="HB184" s="131"/>
      <c r="HC184" s="131"/>
      <c r="HD184" s="131"/>
      <c r="HE184" s="131"/>
      <c r="HF184" s="131"/>
      <c r="HG184" s="131"/>
      <c r="HH184" s="131"/>
      <c r="HI184" s="131"/>
      <c r="HJ184" s="131"/>
      <c r="HK184" s="131"/>
      <c r="HL184" s="131"/>
      <c r="HM184" s="131"/>
    </row>
    <row r="185" spans="1:221" s="49" customFormat="1" ht="14" thickBot="1" x14ac:dyDescent="0.2">
      <c r="AA185" s="169"/>
      <c r="GN185" s="129"/>
      <c r="GO185" s="129"/>
      <c r="GP185" s="129"/>
      <c r="GQ185" s="129"/>
      <c r="GR185" s="129"/>
      <c r="GS185" s="129"/>
      <c r="GT185" s="129"/>
      <c r="GU185" s="129"/>
      <c r="GV185" s="129"/>
      <c r="GW185" s="129"/>
      <c r="GX185" s="129"/>
      <c r="GY185" s="129"/>
      <c r="GZ185" s="129"/>
      <c r="HA185" s="129"/>
      <c r="HB185" s="129"/>
      <c r="HC185" s="129"/>
      <c r="HD185" s="129"/>
      <c r="HE185" s="129"/>
      <c r="HF185" s="129"/>
      <c r="HG185" s="129"/>
      <c r="HH185" s="129"/>
      <c r="HI185" s="129"/>
      <c r="HJ185" s="129"/>
      <c r="HK185" s="129"/>
      <c r="HL185" s="129"/>
      <c r="HM185" s="129"/>
    </row>
    <row r="186" spans="1:221" s="49" customFormat="1" ht="20" thickBot="1" x14ac:dyDescent="0.25">
      <c r="A186" s="133"/>
      <c r="B186" s="134" t="s">
        <v>149</v>
      </c>
      <c r="C186" s="134" t="s">
        <v>150</v>
      </c>
      <c r="GN186" s="131"/>
      <c r="GO186" s="131"/>
      <c r="GP186" s="131"/>
      <c r="GQ186" s="131"/>
      <c r="GR186" s="131"/>
      <c r="GS186" s="131"/>
      <c r="GT186" s="131"/>
      <c r="GU186" s="131"/>
      <c r="GV186" s="131"/>
      <c r="GW186" s="131"/>
      <c r="GX186" s="131"/>
      <c r="GY186" s="131"/>
      <c r="GZ186" s="131"/>
      <c r="HA186" s="131"/>
      <c r="HB186" s="131"/>
      <c r="HC186" s="131"/>
      <c r="HD186" s="131"/>
      <c r="HE186" s="131"/>
      <c r="HF186" s="131"/>
      <c r="HG186" s="131"/>
      <c r="HH186" s="131"/>
      <c r="HI186" s="131"/>
      <c r="HJ186" s="131"/>
      <c r="HK186" s="131"/>
      <c r="HL186" s="131"/>
      <c r="HM186" s="131"/>
    </row>
    <row r="187" spans="1:221" s="49" customFormat="1" ht="39" thickBot="1" x14ac:dyDescent="0.25">
      <c r="A187" s="135" t="s">
        <v>314</v>
      </c>
      <c r="B187" s="211">
        <f>Y184</f>
        <v>745929.79522349313</v>
      </c>
      <c r="C187" s="136">
        <f>B187*585</f>
        <v>436368930.20574349</v>
      </c>
      <c r="GN187" s="131"/>
      <c r="GO187" s="131"/>
      <c r="GP187" s="131"/>
      <c r="GQ187" s="131"/>
      <c r="GR187" s="131"/>
      <c r="GS187" s="131"/>
      <c r="GT187" s="131"/>
      <c r="GU187" s="131"/>
      <c r="GV187" s="131"/>
      <c r="GW187" s="131"/>
      <c r="GX187" s="131"/>
      <c r="GY187" s="131"/>
      <c r="GZ187" s="131"/>
      <c r="HA187" s="131"/>
      <c r="HB187" s="131"/>
      <c r="HC187" s="131"/>
      <c r="HD187" s="131"/>
      <c r="HE187" s="131"/>
      <c r="HF187" s="131"/>
      <c r="HG187" s="131"/>
      <c r="HH187" s="131"/>
      <c r="HI187" s="131"/>
      <c r="HJ187" s="131"/>
      <c r="HK187" s="131"/>
      <c r="HL187" s="131"/>
      <c r="HM187" s="131"/>
    </row>
    <row r="188" spans="1:221" s="49" customFormat="1" ht="39" thickBot="1" x14ac:dyDescent="0.2">
      <c r="A188" s="137" t="s">
        <v>315</v>
      </c>
      <c r="B188" s="211">
        <f>W184</f>
        <v>3982775.1448289733</v>
      </c>
      <c r="C188" s="136">
        <f>B188*585</f>
        <v>2329923459.7249494</v>
      </c>
      <c r="H188" s="238"/>
      <c r="W188" s="208"/>
    </row>
    <row r="189" spans="1:221" s="49" customFormat="1" ht="39" thickBot="1" x14ac:dyDescent="0.2">
      <c r="A189" s="137" t="s">
        <v>316</v>
      </c>
      <c r="B189" s="137"/>
      <c r="C189" s="223">
        <f>B187/B191</f>
        <v>0.15774504958121088</v>
      </c>
      <c r="E189" s="239"/>
    </row>
    <row r="190" spans="1:221" s="49" customFormat="1" ht="20" thickBot="1" x14ac:dyDescent="0.2">
      <c r="A190" s="137" t="s">
        <v>268</v>
      </c>
      <c r="B190" s="211">
        <v>354500</v>
      </c>
      <c r="C190" s="280">
        <f>B190*585</f>
        <v>207382500</v>
      </c>
    </row>
    <row r="191" spans="1:221" s="49" customFormat="1" ht="39" thickBot="1" x14ac:dyDescent="0.2">
      <c r="A191" s="137" t="s">
        <v>317</v>
      </c>
      <c r="B191" s="211">
        <f>B188+B187</f>
        <v>4728704.9400524665</v>
      </c>
      <c r="C191" s="136">
        <f>B191*585</f>
        <v>2766292389.9306927</v>
      </c>
    </row>
    <row r="192" spans="1:221" ht="145" customHeight="1" x14ac:dyDescent="0.15">
      <c r="A192" s="207" t="s">
        <v>258</v>
      </c>
      <c r="B192" s="207" t="s">
        <v>496</v>
      </c>
      <c r="Z192" s="71"/>
    </row>
    <row r="193" spans="3:26" x14ac:dyDescent="0.15">
      <c r="Z193" s="71"/>
    </row>
    <row r="194" spans="3:26" x14ac:dyDescent="0.15">
      <c r="D194" s="72"/>
      <c r="W194" s="73"/>
    </row>
    <row r="195" spans="3:26" x14ac:dyDescent="0.15">
      <c r="E195" s="72"/>
    </row>
    <row r="196" spans="3:26" x14ac:dyDescent="0.15">
      <c r="W196" s="74"/>
      <c r="Z196" s="75"/>
    </row>
    <row r="202" spans="3:26" x14ac:dyDescent="0.15">
      <c r="C202" s="65"/>
    </row>
  </sheetData>
  <mergeCells count="7">
    <mergeCell ref="E184:S184"/>
    <mergeCell ref="F2:L2"/>
    <mergeCell ref="F4:J4"/>
    <mergeCell ref="C6:C7"/>
    <mergeCell ref="A8:Z8"/>
    <mergeCell ref="D74:D79"/>
    <mergeCell ref="T74:T79"/>
  </mergeCells>
  <pageMargins left="0.7" right="0.7" top="0.75" bottom="0.75" header="0.3" footer="0.3"/>
  <pageSetup orientation="portrait" r:id="rId1"/>
  <ignoredErrors>
    <ignoredError sqref="C189"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9C660-0395-9D4D-8330-10BD5703536A}">
  <dimension ref="A1:P34"/>
  <sheetViews>
    <sheetView zoomScale="180" zoomScaleNormal="180" workbookViewId="0">
      <selection activeCell="C19" sqref="C19"/>
    </sheetView>
  </sheetViews>
  <sheetFormatPr baseColWidth="10" defaultRowHeight="15" x14ac:dyDescent="0.2"/>
  <cols>
    <col min="6" max="6" width="22.6640625" customWidth="1"/>
    <col min="8" max="8" width="23.33203125" customWidth="1"/>
    <col min="9" max="9" width="20.83203125" bestFit="1" customWidth="1"/>
    <col min="10" max="10" width="24" bestFit="1" customWidth="1"/>
    <col min="11" max="11" width="15.1640625" bestFit="1" customWidth="1"/>
  </cols>
  <sheetData>
    <row r="1" spans="1:16" ht="18" x14ac:dyDescent="0.2">
      <c r="A1" s="310" t="s">
        <v>366</v>
      </c>
      <c r="B1" s="310"/>
      <c r="C1" s="310"/>
      <c r="D1" s="310"/>
      <c r="E1" s="310"/>
      <c r="F1" s="310"/>
      <c r="G1" s="310"/>
      <c r="H1" s="310"/>
    </row>
    <row r="2" spans="1:16" ht="18" x14ac:dyDescent="0.2">
      <c r="A2" s="241"/>
      <c r="B2" s="241"/>
      <c r="C2" s="241"/>
      <c r="D2" s="241"/>
      <c r="E2" s="241"/>
      <c r="G2" s="241"/>
      <c r="I2" s="242" t="s">
        <v>358</v>
      </c>
      <c r="J2" s="242" t="s">
        <v>362</v>
      </c>
      <c r="N2" t="s">
        <v>363</v>
      </c>
      <c r="O2">
        <v>585</v>
      </c>
      <c r="P2" t="s">
        <v>364</v>
      </c>
    </row>
    <row r="3" spans="1:16" ht="18" x14ac:dyDescent="0.2">
      <c r="A3" s="309" t="s">
        <v>357</v>
      </c>
      <c r="B3" s="309"/>
      <c r="C3" s="309"/>
      <c r="D3" s="309"/>
      <c r="E3" s="309"/>
      <c r="F3" s="309"/>
      <c r="G3" s="309"/>
      <c r="H3" s="309"/>
      <c r="I3" s="243">
        <v>772483342</v>
      </c>
      <c r="J3" s="243">
        <f>I3/O2</f>
        <v>1320484.3452991452</v>
      </c>
      <c r="K3" s="246">
        <f>I3*1.15</f>
        <v>888355843.29999995</v>
      </c>
    </row>
    <row r="4" spans="1:16" ht="18" x14ac:dyDescent="0.2">
      <c r="A4" s="309" t="s">
        <v>359</v>
      </c>
      <c r="B4" s="309"/>
      <c r="C4" s="309"/>
      <c r="D4" s="309"/>
      <c r="E4" s="309"/>
      <c r="F4" s="309"/>
      <c r="G4" s="309"/>
      <c r="H4" s="309"/>
      <c r="I4" s="243">
        <v>231745002</v>
      </c>
      <c r="K4" s="246">
        <f>K3-I3</f>
        <v>115872501.29999995</v>
      </c>
    </row>
    <row r="5" spans="1:16" ht="18" x14ac:dyDescent="0.2">
      <c r="A5" s="309" t="s">
        <v>360</v>
      </c>
      <c r="B5" s="309"/>
      <c r="C5" s="309"/>
      <c r="D5" s="309"/>
      <c r="E5" s="309"/>
      <c r="F5" s="309"/>
      <c r="G5" s="309"/>
      <c r="H5" s="309"/>
      <c r="I5" s="243">
        <f>I3-I4</f>
        <v>540738340</v>
      </c>
      <c r="J5" s="243">
        <f>I5/O2</f>
        <v>924339.04273504275</v>
      </c>
    </row>
    <row r="6" spans="1:16" ht="18" x14ac:dyDescent="0.2">
      <c r="A6" s="241" t="s">
        <v>361</v>
      </c>
      <c r="B6" s="241"/>
      <c r="C6" s="241"/>
      <c r="D6" s="241"/>
      <c r="E6" s="241"/>
      <c r="F6" s="241"/>
      <c r="G6" s="241"/>
      <c r="H6" s="241"/>
      <c r="I6" s="243">
        <f>I5*1.15</f>
        <v>621849091</v>
      </c>
      <c r="J6" s="243">
        <f>I6/O2</f>
        <v>1062989.8991452991</v>
      </c>
    </row>
    <row r="7" spans="1:16" ht="18" x14ac:dyDescent="0.2">
      <c r="A7" s="241" t="s">
        <v>365</v>
      </c>
      <c r="B7" s="241"/>
      <c r="C7" s="241"/>
      <c r="D7" s="241"/>
      <c r="E7" s="241"/>
      <c r="F7" s="241"/>
      <c r="G7" s="241"/>
      <c r="H7" s="241"/>
      <c r="I7" s="243">
        <f>I6/2</f>
        <v>310924545.5</v>
      </c>
      <c r="J7" s="243">
        <f>I7/O2</f>
        <v>531494.94957264955</v>
      </c>
    </row>
    <row r="8" spans="1:16" ht="18" x14ac:dyDescent="0.2">
      <c r="A8" s="241"/>
      <c r="B8" s="241"/>
      <c r="C8" s="241"/>
      <c r="D8" s="241"/>
      <c r="E8" s="241"/>
      <c r="F8" s="241"/>
      <c r="G8" s="241"/>
      <c r="H8" s="241"/>
      <c r="K8" s="246">
        <f>I6-I5</f>
        <v>81110751</v>
      </c>
    </row>
    <row r="9" spans="1:16" ht="18" x14ac:dyDescent="0.2">
      <c r="A9" s="241"/>
      <c r="B9" s="241"/>
      <c r="C9" s="241"/>
      <c r="D9" s="241"/>
      <c r="E9" s="241"/>
      <c r="F9" s="241"/>
      <c r="G9" s="241"/>
      <c r="H9" s="241"/>
    </row>
    <row r="10" spans="1:16" ht="42" customHeight="1" x14ac:dyDescent="0.2">
      <c r="A10" s="311" t="s">
        <v>367</v>
      </c>
      <c r="B10" s="311"/>
      <c r="C10" s="311"/>
      <c r="D10" s="311"/>
      <c r="E10" s="311"/>
      <c r="F10" s="311"/>
      <c r="G10" s="311"/>
      <c r="H10" s="311"/>
    </row>
    <row r="11" spans="1:16" ht="18" x14ac:dyDescent="0.2">
      <c r="A11" s="241"/>
      <c r="B11" s="241"/>
      <c r="C11" s="241"/>
      <c r="D11" s="241"/>
      <c r="E11" s="241"/>
      <c r="G11" s="241"/>
      <c r="I11" s="242" t="s">
        <v>358</v>
      </c>
      <c r="J11" s="242" t="s">
        <v>362</v>
      </c>
    </row>
    <row r="12" spans="1:16" ht="18" x14ac:dyDescent="0.2">
      <c r="A12" s="309" t="s">
        <v>368</v>
      </c>
      <c r="B12" s="309"/>
      <c r="C12" s="309"/>
      <c r="D12" s="309"/>
      <c r="E12" s="309"/>
      <c r="F12" s="309"/>
      <c r="G12" s="309"/>
      <c r="H12" s="309"/>
      <c r="I12" s="243">
        <v>55029590</v>
      </c>
      <c r="J12" s="243">
        <f>I12/O2</f>
        <v>94067.675213675218</v>
      </c>
    </row>
    <row r="13" spans="1:16" ht="18" x14ac:dyDescent="0.2">
      <c r="A13" s="241" t="s">
        <v>369</v>
      </c>
      <c r="B13" s="241"/>
      <c r="C13" s="241"/>
      <c r="D13" s="241"/>
      <c r="E13" s="241"/>
      <c r="F13" s="241"/>
      <c r="G13" s="241"/>
      <c r="H13" s="241"/>
      <c r="I13" s="243">
        <f>I12/2</f>
        <v>27514795</v>
      </c>
      <c r="J13" s="243">
        <f>I13/O2</f>
        <v>47033.837606837609</v>
      </c>
    </row>
    <row r="14" spans="1:16" ht="18" x14ac:dyDescent="0.2">
      <c r="A14" s="241"/>
      <c r="B14" s="241"/>
      <c r="C14" s="241"/>
      <c r="D14" s="241"/>
      <c r="E14" s="241"/>
      <c r="F14" s="241"/>
      <c r="G14" s="241"/>
      <c r="H14" s="241"/>
    </row>
    <row r="15" spans="1:16" ht="18" x14ac:dyDescent="0.2">
      <c r="A15" s="241"/>
      <c r="B15" s="241"/>
      <c r="C15" s="241"/>
      <c r="D15" s="241"/>
      <c r="E15" s="241"/>
      <c r="F15" s="241"/>
      <c r="G15" s="241"/>
      <c r="H15" s="241"/>
    </row>
    <row r="16" spans="1:16" ht="18" x14ac:dyDescent="0.2">
      <c r="A16" s="241"/>
      <c r="B16" s="241"/>
      <c r="C16" s="241"/>
      <c r="D16" s="241"/>
      <c r="E16" s="241"/>
      <c r="F16" s="241"/>
      <c r="G16" s="241"/>
      <c r="H16" s="241"/>
    </row>
    <row r="17" spans="1:8" ht="18" x14ac:dyDescent="0.2">
      <c r="A17" s="241"/>
      <c r="B17" s="241"/>
      <c r="C17" s="241"/>
      <c r="D17" s="241"/>
      <c r="E17" s="241"/>
      <c r="F17" s="241"/>
      <c r="G17" s="241"/>
      <c r="H17" s="241"/>
    </row>
    <row r="18" spans="1:8" ht="18" x14ac:dyDescent="0.2">
      <c r="A18" s="241"/>
      <c r="B18" s="241"/>
      <c r="C18" s="241"/>
      <c r="D18" s="241"/>
      <c r="E18" s="241"/>
      <c r="F18" s="241"/>
      <c r="G18" s="241"/>
      <c r="H18" s="241"/>
    </row>
    <row r="19" spans="1:8" ht="18" x14ac:dyDescent="0.2">
      <c r="A19" s="241"/>
      <c r="B19" s="241"/>
      <c r="C19" s="241"/>
      <c r="D19" s="241"/>
      <c r="E19" s="241"/>
      <c r="F19" s="241"/>
      <c r="G19" s="241"/>
      <c r="H19" s="241"/>
    </row>
    <row r="20" spans="1:8" ht="18" x14ac:dyDescent="0.2">
      <c r="A20" s="241"/>
      <c r="B20" s="241"/>
      <c r="C20" s="241"/>
      <c r="D20" s="241"/>
      <c r="E20" s="241"/>
      <c r="F20" s="241"/>
      <c r="G20" s="241"/>
      <c r="H20" s="241"/>
    </row>
    <row r="21" spans="1:8" ht="18" x14ac:dyDescent="0.2">
      <c r="A21" s="241"/>
      <c r="B21" s="241"/>
      <c r="C21" s="241"/>
      <c r="D21" s="241"/>
      <c r="E21" s="241"/>
      <c r="F21" s="241"/>
      <c r="G21" s="241"/>
      <c r="H21" s="241"/>
    </row>
    <row r="22" spans="1:8" ht="18" x14ac:dyDescent="0.2">
      <c r="A22" s="241"/>
      <c r="B22" s="241"/>
      <c r="C22" s="241"/>
      <c r="D22" s="241"/>
      <c r="E22" s="241"/>
      <c r="F22" s="241"/>
      <c r="G22" s="241"/>
      <c r="H22" s="241"/>
    </row>
    <row r="23" spans="1:8" ht="18" x14ac:dyDescent="0.2">
      <c r="A23" s="241"/>
      <c r="B23" s="241"/>
      <c r="C23" s="241"/>
      <c r="D23" s="241"/>
      <c r="E23" s="241"/>
      <c r="F23" s="241"/>
      <c r="G23" s="241"/>
      <c r="H23" s="241"/>
    </row>
    <row r="24" spans="1:8" ht="18" x14ac:dyDescent="0.2">
      <c r="A24" s="241"/>
      <c r="B24" s="241"/>
      <c r="C24" s="241"/>
      <c r="D24" s="241"/>
      <c r="E24" s="241"/>
      <c r="F24" s="241"/>
      <c r="G24" s="241"/>
      <c r="H24" s="241"/>
    </row>
    <row r="25" spans="1:8" ht="18" x14ac:dyDescent="0.2">
      <c r="A25" s="241"/>
      <c r="B25" s="241"/>
      <c r="C25" s="241"/>
      <c r="D25" s="241"/>
      <c r="E25" s="241"/>
      <c r="F25" s="241"/>
      <c r="G25" s="241"/>
      <c r="H25" s="241"/>
    </row>
    <row r="26" spans="1:8" ht="18" x14ac:dyDescent="0.2">
      <c r="A26" s="241"/>
      <c r="B26" s="241"/>
      <c r="C26" s="241"/>
      <c r="D26" s="241"/>
      <c r="E26" s="241"/>
      <c r="F26" s="241"/>
      <c r="G26" s="241"/>
      <c r="H26" s="241"/>
    </row>
    <row r="27" spans="1:8" ht="18" x14ac:dyDescent="0.2">
      <c r="A27" s="241"/>
      <c r="B27" s="241"/>
      <c r="C27" s="241"/>
      <c r="D27" s="241"/>
      <c r="E27" s="241"/>
      <c r="F27" s="241"/>
      <c r="G27" s="241"/>
      <c r="H27" s="241"/>
    </row>
    <row r="28" spans="1:8" ht="18" x14ac:dyDescent="0.2">
      <c r="A28" s="241"/>
      <c r="B28" s="241"/>
      <c r="C28" s="241"/>
      <c r="D28" s="241"/>
      <c r="E28" s="241"/>
      <c r="F28" s="241"/>
      <c r="G28" s="241"/>
      <c r="H28" s="241"/>
    </row>
    <row r="29" spans="1:8" ht="18" x14ac:dyDescent="0.2">
      <c r="A29" s="241"/>
      <c r="B29" s="241"/>
      <c r="C29" s="241"/>
      <c r="D29" s="241"/>
      <c r="E29" s="241"/>
      <c r="F29" s="241"/>
      <c r="G29" s="241"/>
      <c r="H29" s="241"/>
    </row>
    <row r="30" spans="1:8" ht="18" x14ac:dyDescent="0.2">
      <c r="A30" s="241"/>
      <c r="B30" s="241"/>
      <c r="C30" s="241"/>
      <c r="D30" s="241"/>
      <c r="E30" s="241"/>
      <c r="F30" s="241"/>
      <c r="G30" s="241"/>
      <c r="H30" s="241"/>
    </row>
    <row r="31" spans="1:8" ht="18" x14ac:dyDescent="0.2">
      <c r="A31" s="241"/>
      <c r="B31" s="241"/>
      <c r="C31" s="241"/>
      <c r="D31" s="241"/>
      <c r="E31" s="241"/>
      <c r="F31" s="241"/>
      <c r="G31" s="241"/>
      <c r="H31" s="241"/>
    </row>
    <row r="32" spans="1:8" ht="18" x14ac:dyDescent="0.2">
      <c r="A32" s="241"/>
      <c r="B32" s="241"/>
      <c r="C32" s="241"/>
      <c r="D32" s="241"/>
      <c r="E32" s="241"/>
      <c r="F32" s="241"/>
      <c r="G32" s="241"/>
      <c r="H32" s="241"/>
    </row>
    <row r="33" spans="1:8" ht="18" x14ac:dyDescent="0.2">
      <c r="A33" s="241"/>
      <c r="B33" s="241"/>
      <c r="C33" s="241"/>
      <c r="D33" s="241"/>
      <c r="E33" s="241"/>
      <c r="F33" s="241"/>
      <c r="G33" s="241"/>
      <c r="H33" s="241"/>
    </row>
    <row r="34" spans="1:8" ht="18" x14ac:dyDescent="0.2">
      <c r="A34" s="241"/>
      <c r="B34" s="241"/>
      <c r="C34" s="241"/>
      <c r="D34" s="241"/>
      <c r="E34" s="241"/>
      <c r="F34" s="241"/>
      <c r="G34" s="241"/>
      <c r="H34" s="241"/>
    </row>
  </sheetData>
  <mergeCells count="6">
    <mergeCell ref="A12:H12"/>
    <mergeCell ref="A1:H1"/>
    <mergeCell ref="A10:H10"/>
    <mergeCell ref="A5:H5"/>
    <mergeCell ref="A4:H4"/>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HQ204"/>
  <sheetViews>
    <sheetView topLeftCell="A116" zoomScale="140" zoomScaleNormal="140" zoomScalePageLayoutView="125" workbookViewId="0">
      <selection activeCell="E194" sqref="E194"/>
    </sheetView>
  </sheetViews>
  <sheetFormatPr baseColWidth="10" defaultColWidth="9.1640625" defaultRowHeight="13" x14ac:dyDescent="0.15"/>
  <cols>
    <col min="1" max="1" width="53.6640625" style="7" bestFit="1" customWidth="1"/>
    <col min="2" max="2" width="44.33203125" style="7" customWidth="1"/>
    <col min="3" max="3" width="22" style="7" customWidth="1"/>
    <col min="4" max="4" width="4" style="7" customWidth="1"/>
    <col min="5" max="5" width="16" style="7" bestFit="1" customWidth="1"/>
    <col min="6" max="6" width="3.6640625" style="7" bestFit="1" customWidth="1"/>
    <col min="7" max="7" width="4" style="7" bestFit="1" customWidth="1"/>
    <col min="8" max="8" width="15" style="7" bestFit="1" customWidth="1"/>
    <col min="9" max="9" width="8.33203125" style="7" bestFit="1" customWidth="1"/>
    <col min="10" max="10" width="3.5" style="7" bestFit="1" customWidth="1"/>
    <col min="11" max="11" width="2.83203125" style="7" bestFit="1" customWidth="1"/>
    <col min="12" max="12" width="3.6640625" style="7" customWidth="1"/>
    <col min="13" max="13" width="8.83203125" style="7" bestFit="1" customWidth="1"/>
    <col min="14" max="14" width="4.1640625" style="7" bestFit="1" customWidth="1"/>
    <col min="15" max="15" width="3.6640625" style="7" customWidth="1"/>
    <col min="16" max="16" width="8.33203125" style="7" customWidth="1"/>
    <col min="17" max="17" width="6.83203125" style="7" customWidth="1"/>
    <col min="18" max="18" width="3.83203125" style="7" bestFit="1" customWidth="1"/>
    <col min="19" max="19" width="3.6640625" style="7" bestFit="1" customWidth="1"/>
    <col min="20" max="20" width="2.33203125" style="7" customWidth="1"/>
    <col min="21" max="21" width="34" style="7" bestFit="1" customWidth="1"/>
    <col min="22" max="22" width="28" style="7" bestFit="1" customWidth="1"/>
    <col min="23" max="23" width="13.6640625" style="7" bestFit="1" customWidth="1"/>
    <col min="24" max="24" width="13.5" style="7" bestFit="1" customWidth="1"/>
    <col min="25" max="25" width="17.5" style="7" customWidth="1"/>
    <col min="26" max="26" width="36.5" style="7" customWidth="1"/>
    <col min="27" max="27" width="16.83203125" style="7" hidden="1" customWidth="1"/>
    <col min="28" max="28" width="14.5" style="7" bestFit="1" customWidth="1"/>
    <col min="29" max="29" width="14.1640625" style="7" bestFit="1" customWidth="1"/>
    <col min="30" max="30" width="13.6640625" style="7" bestFit="1" customWidth="1"/>
    <col min="31" max="31" width="12.1640625" style="7" bestFit="1" customWidth="1"/>
    <col min="32" max="32" width="11.6640625" style="7" bestFit="1" customWidth="1"/>
    <col min="33" max="33" width="12.1640625" style="7" bestFit="1" customWidth="1"/>
    <col min="34" max="16384" width="9.1640625" style="7"/>
  </cols>
  <sheetData>
    <row r="1" spans="1:31" ht="14" x14ac:dyDescent="0.15">
      <c r="A1" s="1" t="s">
        <v>10</v>
      </c>
      <c r="B1" s="2" t="s">
        <v>73</v>
      </c>
      <c r="C1" s="3"/>
      <c r="D1" s="4"/>
      <c r="E1" s="5"/>
      <c r="F1" s="3"/>
      <c r="G1" s="3"/>
      <c r="H1" s="3"/>
      <c r="I1" s="3"/>
      <c r="J1" s="3"/>
      <c r="K1" s="3"/>
      <c r="L1" s="3"/>
      <c r="M1" s="3"/>
      <c r="N1" s="3"/>
      <c r="O1" s="3"/>
      <c r="P1" s="3"/>
      <c r="Q1" s="3"/>
      <c r="R1" s="3"/>
      <c r="S1" s="3"/>
      <c r="T1" s="3"/>
      <c r="U1" s="3"/>
      <c r="V1" s="3"/>
      <c r="W1" s="3"/>
      <c r="X1" s="3"/>
      <c r="Y1" s="3"/>
      <c r="Z1" s="6"/>
    </row>
    <row r="2" spans="1:31" ht="14" x14ac:dyDescent="0.15">
      <c r="A2" s="8" t="s">
        <v>9</v>
      </c>
      <c r="B2" s="3" t="s">
        <v>69</v>
      </c>
      <c r="C2" s="9"/>
      <c r="D2" s="4"/>
      <c r="E2" s="10"/>
      <c r="F2" s="302" t="s">
        <v>14</v>
      </c>
      <c r="G2" s="302"/>
      <c r="H2" s="302"/>
      <c r="I2" s="302"/>
      <c r="J2" s="302"/>
      <c r="K2" s="302"/>
      <c r="L2" s="302"/>
      <c r="Q2" s="4"/>
      <c r="R2" s="4"/>
      <c r="S2" s="4"/>
      <c r="T2" s="4"/>
      <c r="U2" s="4"/>
      <c r="V2" s="4">
        <v>17531.634999999998</v>
      </c>
      <c r="W2" s="4"/>
      <c r="X2" s="4"/>
      <c r="Y2" s="4"/>
      <c r="Z2" s="4"/>
    </row>
    <row r="3" spans="1:31" ht="14" x14ac:dyDescent="0.15">
      <c r="A3" s="8" t="s">
        <v>11</v>
      </c>
      <c r="B3" s="11" t="s">
        <v>26</v>
      </c>
      <c r="C3" s="3"/>
    </row>
    <row r="4" spans="1:31" ht="14" x14ac:dyDescent="0.15">
      <c r="A4" s="8" t="s">
        <v>12</v>
      </c>
      <c r="B4" s="3" t="s">
        <v>27</v>
      </c>
      <c r="C4" s="3"/>
      <c r="D4" s="4"/>
      <c r="E4" s="12"/>
      <c r="F4" s="302" t="s">
        <v>15</v>
      </c>
      <c r="G4" s="302"/>
      <c r="H4" s="302"/>
      <c r="I4" s="302"/>
      <c r="J4" s="302"/>
      <c r="Z4" s="6"/>
    </row>
    <row r="5" spans="1:31" ht="14" x14ac:dyDescent="0.15">
      <c r="A5" s="183" t="s">
        <v>13</v>
      </c>
      <c r="B5" s="184" t="s">
        <v>271</v>
      </c>
      <c r="C5" s="13"/>
      <c r="D5" s="13"/>
      <c r="E5" s="13"/>
      <c r="F5" s="13"/>
      <c r="G5" s="13"/>
      <c r="H5" s="13"/>
      <c r="I5" s="13"/>
      <c r="J5" s="13"/>
      <c r="K5" s="13"/>
      <c r="L5" s="13"/>
      <c r="M5" s="13"/>
      <c r="N5" s="13"/>
      <c r="O5" s="13"/>
      <c r="P5" s="13"/>
      <c r="Q5" s="13"/>
      <c r="R5" s="13"/>
      <c r="S5" s="13"/>
      <c r="T5" s="13"/>
      <c r="U5" s="13"/>
      <c r="V5" s="13"/>
      <c r="W5" s="13"/>
      <c r="X5" s="13"/>
      <c r="Y5" s="13"/>
      <c r="Z5" s="14"/>
    </row>
    <row r="6" spans="1:31" ht="41" customHeight="1" x14ac:dyDescent="0.15">
      <c r="A6" s="15" t="s">
        <v>17</v>
      </c>
      <c r="B6" s="15" t="s">
        <v>8</v>
      </c>
      <c r="C6" s="303" t="s">
        <v>16</v>
      </c>
      <c r="D6" s="175"/>
      <c r="E6" s="17" t="s">
        <v>309</v>
      </c>
      <c r="F6" s="18"/>
      <c r="G6" s="18"/>
      <c r="H6" s="82"/>
      <c r="I6" s="17" t="s">
        <v>310</v>
      </c>
      <c r="J6" s="16"/>
      <c r="K6" s="16"/>
      <c r="L6" s="82"/>
      <c r="M6" s="17" t="s">
        <v>311</v>
      </c>
      <c r="N6" s="16"/>
      <c r="O6" s="16"/>
      <c r="P6" s="82"/>
      <c r="Q6" s="17" t="s">
        <v>312</v>
      </c>
      <c r="R6" s="16"/>
      <c r="S6" s="16"/>
      <c r="T6" s="82"/>
      <c r="U6" s="15" t="s">
        <v>21</v>
      </c>
      <c r="V6" s="15" t="s">
        <v>22</v>
      </c>
      <c r="W6" s="19" t="s">
        <v>23</v>
      </c>
      <c r="X6" s="15" t="s">
        <v>24</v>
      </c>
      <c r="Y6" s="15" t="s">
        <v>25</v>
      </c>
      <c r="Z6" s="15" t="s">
        <v>28</v>
      </c>
      <c r="AB6" s="224" t="s">
        <v>286</v>
      </c>
      <c r="AC6" s="224" t="s">
        <v>474</v>
      </c>
    </row>
    <row r="7" spans="1:31" ht="28" x14ac:dyDescent="0.15">
      <c r="A7" s="15"/>
      <c r="B7" s="15"/>
      <c r="C7" s="303"/>
      <c r="D7" s="175"/>
      <c r="E7" s="163" t="s">
        <v>0</v>
      </c>
      <c r="F7" s="163" t="s">
        <v>1</v>
      </c>
      <c r="G7" s="163" t="s">
        <v>2</v>
      </c>
      <c r="H7" s="82"/>
      <c r="I7" s="163" t="s">
        <v>18</v>
      </c>
      <c r="J7" s="163" t="s">
        <v>19</v>
      </c>
      <c r="K7" s="163" t="s">
        <v>20</v>
      </c>
      <c r="L7" s="82"/>
      <c r="M7" s="163" t="s">
        <v>3</v>
      </c>
      <c r="N7" s="163" t="s">
        <v>77</v>
      </c>
      <c r="O7" s="163" t="s">
        <v>4</v>
      </c>
      <c r="P7" s="82"/>
      <c r="Q7" s="163" t="s">
        <v>5</v>
      </c>
      <c r="R7" s="163" t="s">
        <v>6</v>
      </c>
      <c r="S7" s="163" t="s">
        <v>7</v>
      </c>
      <c r="T7" s="82"/>
      <c r="U7" s="18"/>
      <c r="V7" s="16"/>
      <c r="W7" s="18"/>
      <c r="X7" s="18"/>
      <c r="Y7" s="18"/>
      <c r="Z7" s="18"/>
    </row>
    <row r="8" spans="1:31" x14ac:dyDescent="0.15">
      <c r="A8" s="304" t="s">
        <v>80</v>
      </c>
      <c r="B8" s="305"/>
      <c r="C8" s="305"/>
      <c r="D8" s="305"/>
      <c r="E8" s="305"/>
      <c r="F8" s="305"/>
      <c r="G8" s="305"/>
      <c r="H8" s="305"/>
      <c r="I8" s="305"/>
      <c r="J8" s="305"/>
      <c r="K8" s="305"/>
      <c r="L8" s="305"/>
      <c r="M8" s="305"/>
      <c r="N8" s="305"/>
      <c r="O8" s="305"/>
      <c r="P8" s="305"/>
      <c r="Q8" s="305"/>
      <c r="R8" s="305"/>
      <c r="S8" s="305"/>
      <c r="T8" s="305"/>
      <c r="U8" s="305"/>
      <c r="V8" s="305"/>
      <c r="W8" s="305"/>
      <c r="X8" s="305"/>
      <c r="Y8" s="305"/>
      <c r="Z8" s="306"/>
    </row>
    <row r="9" spans="1:31" ht="14" x14ac:dyDescent="0.15">
      <c r="A9" s="59" t="s">
        <v>29</v>
      </c>
      <c r="B9" s="20"/>
      <c r="C9" s="20"/>
      <c r="D9" s="20"/>
      <c r="E9" s="20"/>
      <c r="F9" s="20"/>
      <c r="G9" s="20"/>
      <c r="H9" s="20"/>
      <c r="I9" s="20"/>
      <c r="J9" s="20"/>
      <c r="K9" s="20"/>
      <c r="L9" s="20"/>
      <c r="M9" s="20"/>
      <c r="N9" s="20"/>
      <c r="O9" s="20"/>
      <c r="P9" s="20"/>
      <c r="Q9" s="20"/>
      <c r="R9" s="20"/>
      <c r="S9" s="20"/>
      <c r="T9" s="20"/>
      <c r="U9" s="20"/>
      <c r="V9" s="20"/>
      <c r="W9" s="20"/>
      <c r="X9" s="20"/>
      <c r="Y9" s="20"/>
      <c r="Z9" s="21"/>
    </row>
    <row r="10" spans="1:31" ht="28" x14ac:dyDescent="0.15">
      <c r="A10" s="22" t="s">
        <v>30</v>
      </c>
      <c r="B10" s="23"/>
      <c r="C10" s="23"/>
      <c r="D10" s="23"/>
      <c r="E10" s="23"/>
      <c r="F10" s="23"/>
      <c r="G10" s="23"/>
      <c r="H10" s="23"/>
      <c r="I10" s="23"/>
      <c r="J10" s="23"/>
      <c r="K10" s="23"/>
      <c r="L10" s="23"/>
      <c r="M10" s="23"/>
      <c r="N10" s="23"/>
      <c r="O10" s="23"/>
      <c r="P10" s="23"/>
      <c r="Q10" s="23"/>
      <c r="R10" s="23"/>
      <c r="S10" s="23"/>
      <c r="T10" s="23"/>
      <c r="U10" s="23"/>
      <c r="V10" s="23"/>
      <c r="W10" s="23"/>
      <c r="X10" s="23"/>
      <c r="Y10" s="52"/>
      <c r="Z10" s="24" t="s">
        <v>128</v>
      </c>
      <c r="AE10" s="264">
        <v>1</v>
      </c>
    </row>
    <row r="11" spans="1:31" ht="140" x14ac:dyDescent="0.15">
      <c r="A11" s="25" t="s">
        <v>264</v>
      </c>
      <c r="B11" s="56" t="s">
        <v>257</v>
      </c>
      <c r="C11" s="26"/>
      <c r="D11" s="82"/>
      <c r="E11" s="26"/>
      <c r="F11" s="26"/>
      <c r="G11" s="26"/>
      <c r="H11" s="82"/>
      <c r="I11" s="26"/>
      <c r="J11" s="26"/>
      <c r="K11" s="26"/>
      <c r="L11" s="82"/>
      <c r="M11" s="26"/>
      <c r="N11" s="26"/>
      <c r="O11" s="237" t="s">
        <v>156</v>
      </c>
      <c r="P11" s="82"/>
      <c r="Q11" s="26"/>
      <c r="R11" s="26"/>
      <c r="S11" s="26"/>
      <c r="T11" s="82"/>
      <c r="U11" s="25" t="s">
        <v>81</v>
      </c>
      <c r="V11" s="26"/>
      <c r="W11" s="172">
        <f>4611.58277143166*1.15</f>
        <v>5303.3201871464089</v>
      </c>
      <c r="X11" s="214"/>
      <c r="Y11" s="26"/>
      <c r="Z11" s="30"/>
      <c r="AB11" s="219">
        <f>W11*585</f>
        <v>3102442.3094806494</v>
      </c>
      <c r="AC11" s="258">
        <v>1</v>
      </c>
      <c r="AE11" s="264"/>
    </row>
    <row r="12" spans="1:31" ht="28" x14ac:dyDescent="0.15">
      <c r="A12" s="36" t="s">
        <v>31</v>
      </c>
      <c r="B12" s="23"/>
      <c r="C12" s="23"/>
      <c r="D12" s="82"/>
      <c r="E12" s="23"/>
      <c r="F12" s="23"/>
      <c r="G12" s="23"/>
      <c r="H12" s="23"/>
      <c r="I12" s="23"/>
      <c r="J12" s="23"/>
      <c r="K12" s="23"/>
      <c r="L12" s="23"/>
      <c r="M12" s="23"/>
      <c r="N12" s="23"/>
      <c r="O12" s="23"/>
      <c r="P12" s="23"/>
      <c r="Q12" s="23"/>
      <c r="R12" s="23"/>
      <c r="S12" s="23"/>
      <c r="T12" s="23"/>
      <c r="U12" s="23"/>
      <c r="V12" s="23"/>
      <c r="W12" s="23"/>
      <c r="X12" s="23"/>
      <c r="Y12" s="52"/>
      <c r="Z12" s="24" t="s">
        <v>129</v>
      </c>
      <c r="AC12" s="266"/>
      <c r="AE12" s="264">
        <v>1</v>
      </c>
    </row>
    <row r="13" spans="1:31" ht="60" customHeight="1" x14ac:dyDescent="0.15">
      <c r="A13" s="139" t="s">
        <v>32</v>
      </c>
      <c r="B13" s="25" t="s">
        <v>231</v>
      </c>
      <c r="C13" s="26"/>
      <c r="D13" s="82"/>
      <c r="E13" s="26"/>
      <c r="F13" s="26"/>
      <c r="G13" s="237" t="s">
        <v>156</v>
      </c>
      <c r="H13" s="82"/>
      <c r="I13" s="27"/>
      <c r="J13" s="32"/>
      <c r="K13" s="32"/>
      <c r="L13" s="82"/>
      <c r="M13" s="33"/>
      <c r="N13" s="33"/>
      <c r="O13" s="33"/>
      <c r="P13" s="82"/>
      <c r="Q13" s="33"/>
      <c r="R13" s="237" t="s">
        <v>156</v>
      </c>
      <c r="S13" s="25"/>
      <c r="T13" s="82"/>
      <c r="U13" s="25" t="s">
        <v>82</v>
      </c>
      <c r="V13" s="26"/>
      <c r="W13" s="173">
        <f>768.55*1.15+920.8</f>
        <v>1804.6324999999997</v>
      </c>
      <c r="X13" s="26"/>
      <c r="Y13" s="26"/>
      <c r="Z13" s="28"/>
      <c r="AB13" s="219">
        <f>W13*585</f>
        <v>1055710.0124999997</v>
      </c>
      <c r="AC13" s="258">
        <v>1</v>
      </c>
      <c r="AE13" s="264"/>
    </row>
    <row r="14" spans="1:31" ht="42" x14ac:dyDescent="0.15">
      <c r="A14" s="25" t="s">
        <v>33</v>
      </c>
      <c r="B14" s="25" t="s">
        <v>192</v>
      </c>
      <c r="C14" s="26"/>
      <c r="D14" s="82"/>
      <c r="E14" s="237" t="s">
        <v>156</v>
      </c>
      <c r="F14" s="237" t="s">
        <v>156</v>
      </c>
      <c r="G14" s="237" t="s">
        <v>156</v>
      </c>
      <c r="H14" s="82"/>
      <c r="I14" s="237" t="s">
        <v>156</v>
      </c>
      <c r="J14" s="237" t="s">
        <v>156</v>
      </c>
      <c r="K14" s="237" t="s">
        <v>156</v>
      </c>
      <c r="L14" s="82"/>
      <c r="M14" s="25"/>
      <c r="N14" s="25"/>
      <c r="O14" s="237" t="s">
        <v>156</v>
      </c>
      <c r="P14" s="82"/>
      <c r="Q14" s="237" t="s">
        <v>156</v>
      </c>
      <c r="R14" s="237" t="s">
        <v>156</v>
      </c>
      <c r="S14" s="237" t="s">
        <v>156</v>
      </c>
      <c r="T14" s="82"/>
      <c r="U14" s="25" t="s">
        <v>83</v>
      </c>
      <c r="V14" s="26"/>
      <c r="W14" s="173">
        <f>1219.59213789928*1.15</f>
        <v>1402.5309585841719</v>
      </c>
      <c r="X14" s="26"/>
      <c r="Y14" s="26"/>
      <c r="Z14" s="35"/>
      <c r="AB14" s="219">
        <f>W14*585</f>
        <v>820480.61077174055</v>
      </c>
      <c r="AC14" s="258">
        <v>1</v>
      </c>
      <c r="AE14" s="264"/>
    </row>
    <row r="15" spans="1:31" ht="28" x14ac:dyDescent="0.15">
      <c r="A15" s="36" t="s">
        <v>117</v>
      </c>
      <c r="B15" s="37"/>
      <c r="C15" s="37"/>
      <c r="D15" s="37"/>
      <c r="E15" s="37"/>
      <c r="F15" s="37"/>
      <c r="G15" s="37"/>
      <c r="H15" s="37"/>
      <c r="I15" s="37"/>
      <c r="J15" s="37"/>
      <c r="K15" s="37"/>
      <c r="L15" s="37"/>
      <c r="M15" s="37"/>
      <c r="N15" s="37"/>
      <c r="O15" s="37"/>
      <c r="P15" s="37"/>
      <c r="Q15" s="37"/>
      <c r="R15" s="37"/>
      <c r="S15" s="37"/>
      <c r="T15" s="37"/>
      <c r="U15" s="37"/>
      <c r="V15" s="37"/>
      <c r="W15" s="37"/>
      <c r="X15" s="37"/>
      <c r="Y15" s="22"/>
      <c r="Z15" s="24" t="s">
        <v>143</v>
      </c>
      <c r="AC15" s="266"/>
      <c r="AE15" s="264">
        <v>1</v>
      </c>
    </row>
    <row r="16" spans="1:31" s="39" customFormat="1" ht="140" x14ac:dyDescent="0.15">
      <c r="A16" s="25" t="s">
        <v>118</v>
      </c>
      <c r="B16" s="25" t="s">
        <v>265</v>
      </c>
      <c r="D16" s="82"/>
      <c r="E16" s="237" t="s">
        <v>156</v>
      </c>
      <c r="F16" s="237" t="s">
        <v>156</v>
      </c>
      <c r="G16" s="237" t="s">
        <v>156</v>
      </c>
      <c r="H16" s="82"/>
      <c r="I16" s="237" t="s">
        <v>156</v>
      </c>
      <c r="J16" s="237" t="s">
        <v>156</v>
      </c>
      <c r="K16" s="237" t="s">
        <v>156</v>
      </c>
      <c r="L16" s="82"/>
      <c r="M16" s="38"/>
      <c r="N16" s="38"/>
      <c r="O16" s="237" t="s">
        <v>156</v>
      </c>
      <c r="P16" s="82"/>
      <c r="Q16" s="237" t="s">
        <v>156</v>
      </c>
      <c r="R16" s="237" t="s">
        <v>156</v>
      </c>
      <c r="S16" s="237" t="s">
        <v>156</v>
      </c>
      <c r="T16" s="82"/>
      <c r="U16" s="25" t="s">
        <v>84</v>
      </c>
      <c r="V16" s="38"/>
      <c r="W16" s="173">
        <f>14879.0240823713*1.15/2</f>
        <v>8555.4388473634972</v>
      </c>
      <c r="X16" s="38"/>
      <c r="Y16" s="173">
        <f>14879.0240823713*1.15/2</f>
        <v>8555.4388473634972</v>
      </c>
      <c r="Z16" s="38"/>
      <c r="AB16" s="219">
        <f>(W16+Y16)*585</f>
        <v>10009863.451415291</v>
      </c>
      <c r="AC16" s="258">
        <v>1</v>
      </c>
      <c r="AE16" s="273"/>
    </row>
    <row r="17" spans="1:31" s="43" customFormat="1" ht="60" customHeight="1" x14ac:dyDescent="0.15">
      <c r="A17" s="25" t="s">
        <v>85</v>
      </c>
      <c r="B17" s="40" t="s">
        <v>232</v>
      </c>
      <c r="C17" s="41"/>
      <c r="D17" s="82"/>
      <c r="E17" s="38"/>
      <c r="F17" s="40"/>
      <c r="G17" s="40"/>
      <c r="H17" s="82"/>
      <c r="I17" s="237" t="s">
        <v>156</v>
      </c>
      <c r="J17" s="237" t="s">
        <v>156</v>
      </c>
      <c r="K17" s="237" t="s">
        <v>156</v>
      </c>
      <c r="L17" s="82"/>
      <c r="M17" s="40"/>
      <c r="N17" s="40"/>
      <c r="O17" s="40"/>
      <c r="P17" s="82"/>
      <c r="Q17" s="42"/>
      <c r="R17" s="42"/>
      <c r="S17" s="40"/>
      <c r="T17" s="82"/>
      <c r="U17" s="25" t="s">
        <v>86</v>
      </c>
      <c r="V17" s="41"/>
      <c r="W17" s="228"/>
      <c r="X17" s="41"/>
      <c r="Y17" s="173">
        <f>6427.25056672922*1.15</f>
        <v>7391.3381517386024</v>
      </c>
      <c r="Z17" s="44"/>
      <c r="AB17" s="219">
        <f>Y17*585</f>
        <v>4323932.8187670819</v>
      </c>
      <c r="AC17" s="258">
        <v>1</v>
      </c>
      <c r="AE17" s="268"/>
    </row>
    <row r="18" spans="1:31" ht="16" x14ac:dyDescent="0.15">
      <c r="A18" s="25" t="s">
        <v>266</v>
      </c>
      <c r="B18" s="25" t="s">
        <v>401</v>
      </c>
      <c r="C18" s="26"/>
      <c r="D18" s="174"/>
      <c r="E18" s="26"/>
      <c r="F18" s="26"/>
      <c r="G18" s="26"/>
      <c r="H18" s="82"/>
      <c r="I18" s="237" t="s">
        <v>156</v>
      </c>
      <c r="J18" s="27"/>
      <c r="K18" s="27"/>
      <c r="L18" s="82"/>
      <c r="M18" s="237" t="s">
        <v>156</v>
      </c>
      <c r="N18" s="27"/>
      <c r="O18" s="27"/>
      <c r="P18" s="82"/>
      <c r="Q18" s="27"/>
      <c r="R18" s="27"/>
      <c r="S18" s="237" t="s">
        <v>156</v>
      </c>
      <c r="T18" s="82"/>
      <c r="U18" s="45" t="s">
        <v>154</v>
      </c>
      <c r="V18" s="41"/>
      <c r="W18" s="229">
        <f>2667.85780165468*1.15</f>
        <v>3068.0364719028817</v>
      </c>
      <c r="X18" s="26"/>
      <c r="Y18" s="26"/>
      <c r="Z18" s="28"/>
      <c r="AB18" s="219">
        <f>W18*585</f>
        <v>1794801.3360631857</v>
      </c>
      <c r="AC18" s="258"/>
      <c r="AE18" s="264"/>
    </row>
    <row r="19" spans="1:31" ht="93" customHeight="1" x14ac:dyDescent="0.15">
      <c r="A19" s="25" t="s">
        <v>187</v>
      </c>
      <c r="B19" s="25" t="s">
        <v>402</v>
      </c>
      <c r="C19" s="26"/>
      <c r="D19" s="174"/>
      <c r="E19" s="26"/>
      <c r="F19" s="26"/>
      <c r="G19" s="26"/>
      <c r="H19" s="82"/>
      <c r="I19" s="237" t="s">
        <v>156</v>
      </c>
      <c r="J19" s="27"/>
      <c r="K19" s="27"/>
      <c r="L19" s="82"/>
      <c r="M19" s="237" t="s">
        <v>156</v>
      </c>
      <c r="N19" s="27"/>
      <c r="O19" s="27"/>
      <c r="P19" s="82"/>
      <c r="Q19" s="27"/>
      <c r="R19" s="27"/>
      <c r="S19" s="237" t="s">
        <v>156</v>
      </c>
      <c r="T19" s="82"/>
      <c r="U19" s="45" t="s">
        <v>186</v>
      </c>
      <c r="V19" s="41"/>
      <c r="W19" s="173">
        <f>4344.7969912662*1.15</f>
        <v>4996.5165399561301</v>
      </c>
      <c r="X19" s="26"/>
      <c r="Y19" s="26"/>
      <c r="Z19" s="28"/>
      <c r="AB19" s="219">
        <f>W19*585</f>
        <v>2922962.1758743362</v>
      </c>
      <c r="AC19" s="258">
        <v>1</v>
      </c>
      <c r="AE19" s="264"/>
    </row>
    <row r="20" spans="1:31" ht="55" customHeight="1" x14ac:dyDescent="0.15">
      <c r="A20" s="25" t="s">
        <v>397</v>
      </c>
      <c r="B20" s="25" t="s">
        <v>459</v>
      </c>
      <c r="C20" s="26"/>
      <c r="D20" s="174"/>
      <c r="E20" s="26"/>
      <c r="F20" s="26"/>
      <c r="G20" s="26"/>
      <c r="H20" s="82"/>
      <c r="I20" s="237"/>
      <c r="J20" s="237" t="s">
        <v>156</v>
      </c>
      <c r="K20" s="27"/>
      <c r="L20" s="82"/>
      <c r="M20" s="237"/>
      <c r="N20" s="27"/>
      <c r="O20" s="27"/>
      <c r="P20" s="82"/>
      <c r="Q20" s="27"/>
      <c r="R20" s="27"/>
      <c r="S20" s="237"/>
      <c r="T20" s="82"/>
      <c r="U20" s="45" t="s">
        <v>403</v>
      </c>
      <c r="V20" s="41"/>
      <c r="W20" s="173">
        <v>15384.615384615385</v>
      </c>
      <c r="X20" s="26"/>
      <c r="Y20" s="26"/>
      <c r="Z20" s="28"/>
      <c r="AB20" s="219">
        <f>W20*585</f>
        <v>9000000</v>
      </c>
      <c r="AC20" s="258">
        <v>1</v>
      </c>
      <c r="AE20" s="264"/>
    </row>
    <row r="21" spans="1:31" ht="28" x14ac:dyDescent="0.15">
      <c r="A21" s="22" t="s">
        <v>267</v>
      </c>
      <c r="B21" s="37"/>
      <c r="C21" s="37"/>
      <c r="D21" s="37"/>
      <c r="E21" s="37"/>
      <c r="F21" s="37"/>
      <c r="G21" s="37"/>
      <c r="H21" s="37"/>
      <c r="I21" s="37"/>
      <c r="J21" s="37"/>
      <c r="K21" s="37"/>
      <c r="L21" s="37"/>
      <c r="M21" s="37"/>
      <c r="N21" s="37"/>
      <c r="O21" s="37"/>
      <c r="P21" s="37"/>
      <c r="Q21" s="37"/>
      <c r="R21" s="37"/>
      <c r="S21" s="37"/>
      <c r="T21" s="37"/>
      <c r="U21" s="37"/>
      <c r="V21" s="37"/>
      <c r="W21" s="37"/>
      <c r="X21" s="22"/>
      <c r="Y21" s="22"/>
      <c r="Z21" s="24" t="s">
        <v>131</v>
      </c>
      <c r="AC21" s="266"/>
      <c r="AE21" s="264">
        <v>1</v>
      </c>
    </row>
    <row r="22" spans="1:31" ht="140" x14ac:dyDescent="0.15">
      <c r="A22" s="25" t="s">
        <v>287</v>
      </c>
      <c r="B22" s="25" t="s">
        <v>251</v>
      </c>
      <c r="D22" s="174"/>
      <c r="E22" s="26"/>
      <c r="F22" s="26"/>
      <c r="G22" s="27"/>
      <c r="H22" s="82"/>
      <c r="I22" s="27"/>
      <c r="J22" s="27"/>
      <c r="K22" s="27"/>
      <c r="L22" s="82"/>
      <c r="M22" s="27"/>
      <c r="N22" s="50"/>
      <c r="O22" s="50"/>
      <c r="P22" s="82"/>
      <c r="Q22" s="237" t="s">
        <v>156</v>
      </c>
      <c r="R22" s="27"/>
      <c r="S22" s="27"/>
      <c r="T22" s="82"/>
      <c r="U22" s="25" t="s">
        <v>188</v>
      </c>
      <c r="V22" s="26"/>
      <c r="W22" s="173">
        <f>9512.82*1.15</f>
        <v>10939.742999999999</v>
      </c>
      <c r="Y22" s="26"/>
      <c r="Z22" s="28"/>
      <c r="AB22" s="219">
        <f>W22*585</f>
        <v>6399749.6549999993</v>
      </c>
      <c r="AC22" s="258">
        <v>1</v>
      </c>
      <c r="AE22" s="264"/>
    </row>
    <row r="23" spans="1:31" ht="94" customHeight="1" x14ac:dyDescent="0.15">
      <c r="A23" s="25" t="s">
        <v>34</v>
      </c>
      <c r="B23" s="25" t="s">
        <v>388</v>
      </c>
      <c r="C23" s="26"/>
      <c r="D23" s="174"/>
      <c r="E23" s="26"/>
      <c r="F23" s="26"/>
      <c r="G23" s="27"/>
      <c r="H23" s="82"/>
      <c r="I23" s="26"/>
      <c r="J23" s="26"/>
      <c r="K23" s="27"/>
      <c r="L23" s="82"/>
      <c r="M23" s="26"/>
      <c r="N23" s="26"/>
      <c r="O23" s="26"/>
      <c r="P23" s="82"/>
      <c r="Q23" s="237" t="s">
        <v>156</v>
      </c>
      <c r="R23" s="26"/>
      <c r="S23" s="27"/>
      <c r="T23" s="82"/>
      <c r="U23" s="25" t="s">
        <v>87</v>
      </c>
      <c r="V23" s="26"/>
      <c r="W23" s="173">
        <f>13583.21*1.15</f>
        <v>15620.691499999997</v>
      </c>
      <c r="X23" s="26"/>
      <c r="Y23" s="26"/>
      <c r="Z23" s="28"/>
      <c r="AB23" s="219">
        <f>W23*585</f>
        <v>9138104.527499998</v>
      </c>
      <c r="AC23" s="258">
        <v>1</v>
      </c>
      <c r="AE23" s="264"/>
    </row>
    <row r="24" spans="1:31" ht="56" x14ac:dyDescent="0.15">
      <c r="A24" s="25" t="s">
        <v>35</v>
      </c>
      <c r="B24" s="25" t="s">
        <v>250</v>
      </c>
      <c r="C24" s="26"/>
      <c r="D24" s="174"/>
      <c r="E24" s="25"/>
      <c r="F24" s="25"/>
      <c r="G24" s="25"/>
      <c r="H24" s="82"/>
      <c r="I24" s="25"/>
      <c r="J24" s="25"/>
      <c r="K24" s="27"/>
      <c r="L24" s="82"/>
      <c r="M24" s="26"/>
      <c r="N24" s="27"/>
      <c r="O24" s="27"/>
      <c r="P24" s="82"/>
      <c r="Q24" s="237" t="s">
        <v>156</v>
      </c>
      <c r="R24" s="27"/>
      <c r="S24" s="27"/>
      <c r="T24" s="82"/>
      <c r="U24" s="25" t="s">
        <v>155</v>
      </c>
      <c r="V24" s="26"/>
      <c r="W24" s="173">
        <f>581.897898795195*1.15</f>
        <v>669.1825836144742</v>
      </c>
      <c r="X24" s="26"/>
      <c r="Y24" s="26"/>
      <c r="Z24" s="28"/>
      <c r="AB24" s="219">
        <f>W24*585</f>
        <v>391471.8114144674</v>
      </c>
      <c r="AC24" s="258">
        <v>1</v>
      </c>
      <c r="AE24" s="264"/>
    </row>
    <row r="25" spans="1:31" ht="35" customHeight="1" x14ac:dyDescent="0.15">
      <c r="A25" s="25" t="s">
        <v>76</v>
      </c>
      <c r="B25" s="56" t="s">
        <v>288</v>
      </c>
      <c r="C25" s="26"/>
      <c r="D25" s="174"/>
      <c r="E25" s="25"/>
      <c r="F25" s="25"/>
      <c r="G25" s="25"/>
      <c r="H25" s="82"/>
      <c r="I25" s="25"/>
      <c r="J25" s="25"/>
      <c r="K25" s="25"/>
      <c r="L25" s="82"/>
      <c r="M25" s="27"/>
      <c r="N25" s="33"/>
      <c r="O25" s="33"/>
      <c r="P25" s="82"/>
      <c r="Q25" s="237" t="s">
        <v>156</v>
      </c>
      <c r="R25" s="33"/>
      <c r="S25" s="33"/>
      <c r="T25" s="82"/>
      <c r="U25" s="25" t="s">
        <v>88</v>
      </c>
      <c r="V25" s="26"/>
      <c r="W25" s="173">
        <f>1585.46977926907*1.15</f>
        <v>1823.2902461594304</v>
      </c>
      <c r="X25" s="26"/>
      <c r="Y25" s="26"/>
      <c r="Z25" s="28"/>
      <c r="AB25" s="219">
        <f>W25*585</f>
        <v>1066624.7940032668</v>
      </c>
      <c r="AC25" s="258">
        <v>1</v>
      </c>
      <c r="AE25" s="264"/>
    </row>
    <row r="26" spans="1:31" ht="28" x14ac:dyDescent="0.15">
      <c r="A26" s="52" t="s">
        <v>395</v>
      </c>
      <c r="B26" s="23"/>
      <c r="C26" s="23"/>
      <c r="D26" s="23"/>
      <c r="E26" s="23"/>
      <c r="F26" s="23"/>
      <c r="G26" s="23"/>
      <c r="H26" s="23"/>
      <c r="I26" s="23"/>
      <c r="J26" s="23"/>
      <c r="K26" s="23"/>
      <c r="L26" s="23"/>
      <c r="M26" s="23"/>
      <c r="N26" s="23"/>
      <c r="O26" s="23"/>
      <c r="P26" s="23"/>
      <c r="Q26" s="23"/>
      <c r="R26" s="23"/>
      <c r="S26" s="23"/>
      <c r="T26" s="23"/>
      <c r="U26" s="23"/>
      <c r="V26" s="23"/>
      <c r="W26" s="23"/>
      <c r="X26" s="23"/>
      <c r="Y26" s="52"/>
      <c r="Z26" s="24" t="s">
        <v>128</v>
      </c>
      <c r="AC26" s="258"/>
      <c r="AE26" s="264">
        <v>1</v>
      </c>
    </row>
    <row r="27" spans="1:31" ht="68" customHeight="1" x14ac:dyDescent="0.15">
      <c r="A27" s="25" t="s">
        <v>272</v>
      </c>
      <c r="B27" s="25" t="s">
        <v>233</v>
      </c>
      <c r="C27" s="26"/>
      <c r="D27" s="174"/>
      <c r="E27" s="26"/>
      <c r="F27" s="26"/>
      <c r="G27" s="25"/>
      <c r="H27" s="82"/>
      <c r="I27" s="48"/>
      <c r="J27" s="237" t="s">
        <v>156</v>
      </c>
      <c r="K27" s="48"/>
      <c r="L27" s="82"/>
      <c r="M27" s="26"/>
      <c r="N27" s="26"/>
      <c r="O27" s="26"/>
      <c r="P27" s="82"/>
      <c r="Q27" s="26"/>
      <c r="R27" s="26"/>
      <c r="S27" s="26"/>
      <c r="T27" s="82"/>
      <c r="U27" s="25" t="s">
        <v>146</v>
      </c>
      <c r="V27" s="26"/>
      <c r="W27" s="173">
        <f>6587.77938188021*1.15</f>
        <v>7575.9462891622416</v>
      </c>
      <c r="X27" s="26"/>
      <c r="Y27" s="26"/>
      <c r="Z27" s="176"/>
      <c r="AB27" s="219">
        <f>W27*585</f>
        <v>4431928.5791599117</v>
      </c>
      <c r="AC27" s="258">
        <v>1</v>
      </c>
    </row>
    <row r="28" spans="1:31" ht="42" x14ac:dyDescent="0.15">
      <c r="A28" s="25" t="s">
        <v>396</v>
      </c>
      <c r="B28" s="25" t="s">
        <v>389</v>
      </c>
      <c r="C28" s="47"/>
      <c r="D28" s="174"/>
      <c r="E28" s="26"/>
      <c r="F28" s="26"/>
      <c r="G28" s="26"/>
      <c r="H28" s="82"/>
      <c r="I28" s="27"/>
      <c r="J28" s="34"/>
      <c r="K28" s="237" t="s">
        <v>156</v>
      </c>
      <c r="L28" s="82"/>
      <c r="M28" s="27"/>
      <c r="N28" s="25"/>
      <c r="O28" s="25"/>
      <c r="P28" s="82"/>
      <c r="Q28" s="26"/>
      <c r="R28" s="26"/>
      <c r="S28" s="26"/>
      <c r="T28" s="82"/>
      <c r="U28" s="25" t="s">
        <v>289</v>
      </c>
      <c r="V28" s="26"/>
      <c r="W28" s="173">
        <f>6631*1.15</f>
        <v>7625.65</v>
      </c>
      <c r="X28" s="26"/>
      <c r="Y28" s="26"/>
      <c r="Z28" s="28"/>
      <c r="AB28" s="219">
        <f>W28*585</f>
        <v>4461005.25</v>
      </c>
      <c r="AC28" s="258">
        <v>1</v>
      </c>
      <c r="AD28" s="256">
        <f>SUM(AC10:AC28)</f>
        <v>13</v>
      </c>
      <c r="AE28" s="257">
        <f>SUM(AE10:AE27)</f>
        <v>5</v>
      </c>
    </row>
    <row r="29" spans="1:31" ht="14" x14ac:dyDescent="0.15">
      <c r="A29" s="59" t="s">
        <v>36</v>
      </c>
      <c r="B29" s="60"/>
      <c r="C29" s="60"/>
      <c r="D29" s="60"/>
      <c r="E29" s="60"/>
      <c r="F29" s="60"/>
      <c r="G29" s="60"/>
      <c r="H29" s="60"/>
      <c r="I29" s="60"/>
      <c r="J29" s="60"/>
      <c r="K29" s="60"/>
      <c r="L29" s="60"/>
      <c r="M29" s="60"/>
      <c r="N29" s="60"/>
      <c r="O29" s="60"/>
      <c r="P29" s="60"/>
      <c r="Q29" s="60"/>
      <c r="R29" s="60"/>
      <c r="S29" s="60"/>
      <c r="T29" s="60"/>
      <c r="U29" s="60"/>
      <c r="V29" s="60"/>
      <c r="W29" s="60"/>
      <c r="X29" s="20"/>
      <c r="Y29" s="20"/>
      <c r="Z29" s="21"/>
    </row>
    <row r="30" spans="1:31" ht="28" x14ac:dyDescent="0.15">
      <c r="A30" s="22" t="s">
        <v>65</v>
      </c>
      <c r="B30" s="23"/>
      <c r="C30" s="23"/>
      <c r="D30" s="23"/>
      <c r="E30" s="23"/>
      <c r="F30" s="23"/>
      <c r="G30" s="23"/>
      <c r="H30" s="23"/>
      <c r="I30" s="23"/>
      <c r="J30" s="23"/>
      <c r="K30" s="23"/>
      <c r="L30" s="23"/>
      <c r="M30" s="23"/>
      <c r="N30" s="23"/>
      <c r="O30" s="23"/>
      <c r="P30" s="23"/>
      <c r="Q30" s="23"/>
      <c r="R30" s="23"/>
      <c r="S30" s="23"/>
      <c r="T30" s="23"/>
      <c r="U30" s="23"/>
      <c r="V30" s="23"/>
      <c r="W30" s="23"/>
      <c r="X30" s="23"/>
      <c r="Y30" s="52"/>
      <c r="Z30" s="24" t="s">
        <v>130</v>
      </c>
      <c r="AE30" s="264">
        <v>1</v>
      </c>
    </row>
    <row r="31" spans="1:31" ht="70" x14ac:dyDescent="0.15">
      <c r="A31" s="45" t="s">
        <v>64</v>
      </c>
      <c r="B31" s="25" t="s">
        <v>253</v>
      </c>
      <c r="C31" s="26"/>
      <c r="D31" s="174"/>
      <c r="E31" s="26"/>
      <c r="F31" s="33"/>
      <c r="G31" s="237" t="s">
        <v>156</v>
      </c>
      <c r="H31" s="82"/>
      <c r="I31" s="27"/>
      <c r="J31" s="237" t="s">
        <v>156</v>
      </c>
      <c r="K31" s="27"/>
      <c r="L31" s="82"/>
      <c r="M31" s="50"/>
      <c r="N31" s="50"/>
      <c r="O31" s="237" t="s">
        <v>156</v>
      </c>
      <c r="P31" s="82"/>
      <c r="Q31" s="237" t="s">
        <v>156</v>
      </c>
      <c r="R31" s="26"/>
      <c r="S31" s="26"/>
      <c r="T31" s="82"/>
      <c r="U31" s="25" t="s">
        <v>89</v>
      </c>
      <c r="V31" s="26"/>
      <c r="W31" s="173">
        <f>7363.28753256692*1.15</f>
        <v>8467.7806624519581</v>
      </c>
      <c r="X31" s="26"/>
      <c r="Y31" s="26"/>
      <c r="Z31" s="177"/>
      <c r="AA31" s="29"/>
      <c r="AB31" s="219">
        <f>W31*585</f>
        <v>4953651.6875343956</v>
      </c>
      <c r="AC31" s="258">
        <v>1</v>
      </c>
      <c r="AE31" s="264"/>
    </row>
    <row r="32" spans="1:31" ht="84" x14ac:dyDescent="0.15">
      <c r="A32" s="25" t="s">
        <v>179</v>
      </c>
      <c r="B32" s="25" t="s">
        <v>234</v>
      </c>
      <c r="C32" s="26"/>
      <c r="D32" s="174"/>
      <c r="E32" s="26"/>
      <c r="F32" s="26"/>
      <c r="G32" s="237" t="s">
        <v>156</v>
      </c>
      <c r="H32" s="82"/>
      <c r="I32" s="27"/>
      <c r="J32" s="237" t="s">
        <v>156</v>
      </c>
      <c r="K32" s="50"/>
      <c r="L32" s="82"/>
      <c r="M32" s="27"/>
      <c r="N32" s="237" t="s">
        <v>156</v>
      </c>
      <c r="O32" s="27"/>
      <c r="P32" s="82"/>
      <c r="Q32" s="237" t="s">
        <v>156</v>
      </c>
      <c r="R32" s="32"/>
      <c r="S32" s="32"/>
      <c r="T32" s="82"/>
      <c r="U32" s="25" t="s">
        <v>180</v>
      </c>
      <c r="V32" s="26"/>
      <c r="W32" s="173">
        <f>10776.3161304781*1.15</f>
        <v>12392.763550049815</v>
      </c>
      <c r="X32" s="26"/>
      <c r="Y32" s="26"/>
      <c r="Z32" s="177"/>
      <c r="AA32" s="29"/>
      <c r="AB32" s="219">
        <f>W32*585</f>
        <v>7249766.6767791416</v>
      </c>
      <c r="AC32" s="264">
        <v>1</v>
      </c>
      <c r="AE32" s="264"/>
    </row>
    <row r="33" spans="1:31" ht="28" x14ac:dyDescent="0.15">
      <c r="A33" s="25" t="s">
        <v>157</v>
      </c>
      <c r="B33" s="26" t="s">
        <v>158</v>
      </c>
      <c r="C33" s="26"/>
      <c r="D33" s="174"/>
      <c r="E33" s="26"/>
      <c r="F33" s="26"/>
      <c r="G33" s="237" t="s">
        <v>156</v>
      </c>
      <c r="H33" s="82"/>
      <c r="I33" s="27"/>
      <c r="J33" s="27"/>
      <c r="K33" s="237" t="s">
        <v>156</v>
      </c>
      <c r="L33" s="82"/>
      <c r="M33" s="27"/>
      <c r="N33" s="27"/>
      <c r="O33" s="237" t="s">
        <v>156</v>
      </c>
      <c r="P33" s="82"/>
      <c r="Q33" s="50"/>
      <c r="R33" s="237" t="s">
        <v>156</v>
      </c>
      <c r="S33" s="27"/>
      <c r="T33" s="82"/>
      <c r="U33" s="25" t="s">
        <v>90</v>
      </c>
      <c r="V33" s="26"/>
      <c r="W33" s="173">
        <f>4573.47051712231*1.15</f>
        <v>5259.4910946906566</v>
      </c>
      <c r="X33" s="26"/>
      <c r="Y33" s="26"/>
      <c r="Z33" s="28"/>
      <c r="AB33" s="219">
        <f>W33*585</f>
        <v>3076802.2903940342</v>
      </c>
      <c r="AC33" s="264">
        <v>1</v>
      </c>
      <c r="AE33" s="264"/>
    </row>
    <row r="34" spans="1:31" ht="28" x14ac:dyDescent="0.15">
      <c r="A34" s="22" t="s">
        <v>66</v>
      </c>
      <c r="B34" s="23"/>
      <c r="C34" s="23"/>
      <c r="D34" s="23"/>
      <c r="E34" s="23"/>
      <c r="F34" s="23"/>
      <c r="G34" s="23"/>
      <c r="H34" s="23"/>
      <c r="I34" s="23"/>
      <c r="J34" s="23"/>
      <c r="K34" s="23"/>
      <c r="L34" s="23"/>
      <c r="M34" s="23"/>
      <c r="N34" s="23"/>
      <c r="O34" s="23"/>
      <c r="P34" s="23"/>
      <c r="Q34" s="23"/>
      <c r="R34" s="23"/>
      <c r="S34" s="23"/>
      <c r="T34" s="23"/>
      <c r="U34" s="23"/>
      <c r="V34" s="23"/>
      <c r="W34" s="23"/>
      <c r="X34" s="23"/>
      <c r="Y34" s="52"/>
      <c r="Z34" s="24" t="s">
        <v>132</v>
      </c>
      <c r="AC34" s="264"/>
      <c r="AE34" s="264">
        <v>1</v>
      </c>
    </row>
    <row r="35" spans="1:31" ht="70" x14ac:dyDescent="0.15">
      <c r="A35" s="25" t="s">
        <v>404</v>
      </c>
      <c r="B35" s="40" t="s">
        <v>252</v>
      </c>
      <c r="C35" s="26"/>
      <c r="D35" s="174"/>
      <c r="E35" s="26"/>
      <c r="F35" s="26"/>
      <c r="G35" s="26"/>
      <c r="H35" s="82"/>
      <c r="I35" s="237" t="s">
        <v>156</v>
      </c>
      <c r="J35" s="237" t="s">
        <v>156</v>
      </c>
      <c r="K35" s="26"/>
      <c r="L35" s="82"/>
      <c r="M35" s="26"/>
      <c r="N35" s="26"/>
      <c r="O35" s="26"/>
      <c r="P35" s="82"/>
      <c r="Q35" s="26"/>
      <c r="R35" s="26"/>
      <c r="S35" s="26"/>
      <c r="T35" s="82"/>
      <c r="U35" s="25" t="s">
        <v>390</v>
      </c>
      <c r="V35" s="26"/>
      <c r="W35" s="173">
        <f>4010.01894941284*1.15+5505.3913594946*1.15</f>
        <v>10942.721855243555</v>
      </c>
      <c r="X35" s="26"/>
      <c r="Y35" s="26"/>
      <c r="Z35" s="28"/>
      <c r="AB35" s="219">
        <f>W35*585</f>
        <v>6401492.2853174796</v>
      </c>
      <c r="AC35" s="264">
        <v>1</v>
      </c>
      <c r="AE35" s="264"/>
    </row>
    <row r="36" spans="1:31" ht="42" x14ac:dyDescent="0.15">
      <c r="A36" s="22" t="s">
        <v>71</v>
      </c>
      <c r="B36" s="23"/>
      <c r="C36" s="23"/>
      <c r="D36" s="23"/>
      <c r="E36" s="23"/>
      <c r="F36" s="23"/>
      <c r="G36" s="23"/>
      <c r="H36" s="23"/>
      <c r="I36" s="23"/>
      <c r="J36" s="23"/>
      <c r="K36" s="23"/>
      <c r="L36" s="23"/>
      <c r="M36" s="23"/>
      <c r="N36" s="23"/>
      <c r="O36" s="23"/>
      <c r="P36" s="23"/>
      <c r="Q36" s="23"/>
      <c r="R36" s="23"/>
      <c r="S36" s="23"/>
      <c r="T36" s="23"/>
      <c r="U36" s="23"/>
      <c r="V36" s="23"/>
      <c r="W36" s="23"/>
      <c r="X36" s="23"/>
      <c r="Y36" s="52"/>
      <c r="Z36" s="24" t="s">
        <v>143</v>
      </c>
      <c r="AC36" s="264"/>
      <c r="AE36" s="264">
        <v>1</v>
      </c>
    </row>
    <row r="37" spans="1:31" ht="82" customHeight="1" x14ac:dyDescent="0.15">
      <c r="A37" s="45" t="s">
        <v>254</v>
      </c>
      <c r="B37" s="25" t="s">
        <v>235</v>
      </c>
      <c r="C37" s="26"/>
      <c r="D37" s="174"/>
      <c r="E37" s="25"/>
      <c r="F37" s="30"/>
      <c r="G37" s="237" t="s">
        <v>156</v>
      </c>
      <c r="H37" s="82"/>
      <c r="I37" s="237" t="s">
        <v>156</v>
      </c>
      <c r="J37" s="237" t="s">
        <v>156</v>
      </c>
      <c r="K37" s="237" t="s">
        <v>156</v>
      </c>
      <c r="L37" s="82"/>
      <c r="M37" s="26"/>
      <c r="N37" s="34"/>
      <c r="O37" s="34"/>
      <c r="P37" s="82"/>
      <c r="Q37" s="237" t="s">
        <v>156</v>
      </c>
      <c r="R37" s="237" t="s">
        <v>156</v>
      </c>
      <c r="S37" s="237" t="s">
        <v>156</v>
      </c>
      <c r="T37" s="82"/>
      <c r="U37" s="25" t="s">
        <v>91</v>
      </c>
      <c r="V37" s="26"/>
      <c r="W37" s="173"/>
      <c r="X37" s="26"/>
      <c r="Y37" s="173">
        <f>12549.6030989836*1.15</f>
        <v>14432.043563831139</v>
      </c>
      <c r="Z37" s="28"/>
      <c r="AB37" s="219">
        <f>Y37*585</f>
        <v>8442745.4848412164</v>
      </c>
      <c r="AC37" s="258">
        <v>1</v>
      </c>
      <c r="AD37" s="215"/>
      <c r="AE37" s="264"/>
    </row>
    <row r="38" spans="1:31" s="55" customFormat="1" ht="28" x14ac:dyDescent="0.15">
      <c r="A38" s="22" t="s">
        <v>255</v>
      </c>
      <c r="B38" s="23"/>
      <c r="C38" s="23"/>
      <c r="D38" s="23"/>
      <c r="E38" s="23"/>
      <c r="F38" s="23"/>
      <c r="G38" s="23"/>
      <c r="H38" s="23"/>
      <c r="I38" s="23"/>
      <c r="J38" s="23"/>
      <c r="K38" s="23"/>
      <c r="L38" s="23"/>
      <c r="M38" s="23"/>
      <c r="N38" s="23"/>
      <c r="O38" s="23"/>
      <c r="P38" s="23"/>
      <c r="Q38" s="23"/>
      <c r="R38" s="23"/>
      <c r="S38" s="23"/>
      <c r="T38" s="23"/>
      <c r="U38" s="23"/>
      <c r="V38" s="23"/>
      <c r="W38" s="23"/>
      <c r="X38" s="23"/>
      <c r="Y38" s="52"/>
      <c r="Z38" s="24" t="s">
        <v>129</v>
      </c>
      <c r="AC38" s="272"/>
      <c r="AE38" s="272">
        <v>1</v>
      </c>
    </row>
    <row r="39" spans="1:31" s="57" customFormat="1" ht="28" x14ac:dyDescent="0.15">
      <c r="A39" s="25" t="s">
        <v>290</v>
      </c>
      <c r="B39" s="25" t="s">
        <v>159</v>
      </c>
      <c r="D39" s="174"/>
      <c r="E39" s="25"/>
      <c r="F39" s="25"/>
      <c r="G39" s="237" t="s">
        <v>156</v>
      </c>
      <c r="H39" s="82"/>
      <c r="I39" s="34"/>
      <c r="J39" s="34"/>
      <c r="K39" s="237" t="s">
        <v>156</v>
      </c>
      <c r="L39" s="82"/>
      <c r="M39" s="27"/>
      <c r="N39" s="27"/>
      <c r="O39" s="27"/>
      <c r="P39" s="82"/>
      <c r="Q39" s="27"/>
      <c r="R39" s="27"/>
      <c r="S39" s="237" t="s">
        <v>156</v>
      </c>
      <c r="T39" s="82"/>
      <c r="U39" s="56" t="s">
        <v>147</v>
      </c>
      <c r="V39" s="25"/>
      <c r="W39" s="173"/>
      <c r="X39" s="25"/>
      <c r="Y39" s="173">
        <f>1524.4901723741*1.15</f>
        <v>1753.1636982302148</v>
      </c>
      <c r="Z39" s="28"/>
      <c r="AB39" s="219">
        <f>Y39*585</f>
        <v>1025600.7634646756</v>
      </c>
      <c r="AC39" s="258">
        <v>1</v>
      </c>
      <c r="AE39" s="258"/>
    </row>
    <row r="40" spans="1:31" s="55" customFormat="1" ht="42" x14ac:dyDescent="0.15">
      <c r="A40" s="52" t="s">
        <v>72</v>
      </c>
      <c r="B40" s="23"/>
      <c r="C40" s="23"/>
      <c r="D40" s="23"/>
      <c r="E40" s="23"/>
      <c r="F40" s="23"/>
      <c r="G40" s="23"/>
      <c r="H40" s="23"/>
      <c r="I40" s="23"/>
      <c r="J40" s="23"/>
      <c r="K40" s="23"/>
      <c r="L40" s="23"/>
      <c r="M40" s="23"/>
      <c r="N40" s="23"/>
      <c r="O40" s="23"/>
      <c r="P40" s="23"/>
      <c r="Q40" s="23"/>
      <c r="R40" s="23"/>
      <c r="S40" s="23"/>
      <c r="T40" s="23"/>
      <c r="U40" s="23"/>
      <c r="V40" s="23"/>
      <c r="W40" s="23"/>
      <c r="X40" s="23"/>
      <c r="Y40" s="52"/>
      <c r="Z40" s="24" t="s">
        <v>131</v>
      </c>
      <c r="AC40" s="272"/>
      <c r="AE40" s="272">
        <v>1</v>
      </c>
    </row>
    <row r="41" spans="1:31" ht="28" x14ac:dyDescent="0.15">
      <c r="A41" s="25" t="s">
        <v>275</v>
      </c>
      <c r="B41" s="25" t="s">
        <v>391</v>
      </c>
      <c r="D41" s="174"/>
      <c r="E41" s="26"/>
      <c r="F41" s="26"/>
      <c r="G41" s="26"/>
      <c r="H41" s="82"/>
      <c r="I41" s="237" t="s">
        <v>156</v>
      </c>
      <c r="J41" s="26"/>
      <c r="K41" s="26"/>
      <c r="L41" s="82"/>
      <c r="M41" s="26"/>
      <c r="N41" s="26"/>
      <c r="O41" s="26"/>
      <c r="P41" s="82"/>
      <c r="Q41" s="26"/>
      <c r="S41" s="26"/>
      <c r="T41" s="82"/>
      <c r="U41" s="25" t="s">
        <v>181</v>
      </c>
      <c r="V41" s="26"/>
      <c r="W41" s="173">
        <v>3104.9999999999995</v>
      </c>
      <c r="X41" s="173"/>
      <c r="Y41" s="173"/>
      <c r="Z41" s="28"/>
      <c r="AB41" s="219">
        <f>W41*585</f>
        <v>1816424.9999999998</v>
      </c>
      <c r="AC41" s="264">
        <v>1</v>
      </c>
      <c r="AE41" s="264"/>
    </row>
    <row r="42" spans="1:31" s="55" customFormat="1" ht="57" customHeight="1" x14ac:dyDescent="0.15">
      <c r="A42" s="22" t="s">
        <v>274</v>
      </c>
      <c r="B42" s="23"/>
      <c r="C42" s="23"/>
      <c r="D42" s="23"/>
      <c r="E42" s="23"/>
      <c r="F42" s="23"/>
      <c r="G42" s="23"/>
      <c r="H42" s="23"/>
      <c r="I42" s="23"/>
      <c r="J42" s="23"/>
      <c r="K42" s="23"/>
      <c r="L42" s="23"/>
      <c r="M42" s="23"/>
      <c r="N42" s="23"/>
      <c r="O42" s="23"/>
      <c r="P42" s="23"/>
      <c r="Q42" s="23"/>
      <c r="R42" s="23"/>
      <c r="S42" s="23"/>
      <c r="T42" s="23"/>
      <c r="U42" s="23"/>
      <c r="V42" s="23"/>
      <c r="W42" s="23"/>
      <c r="X42" s="23"/>
      <c r="Y42" s="52"/>
      <c r="Z42" s="24" t="s">
        <v>144</v>
      </c>
      <c r="AC42" s="272"/>
      <c r="AE42" s="264">
        <v>1</v>
      </c>
    </row>
    <row r="43" spans="1:31" ht="84" x14ac:dyDescent="0.15">
      <c r="A43" s="139" t="s">
        <v>406</v>
      </c>
      <c r="B43" s="45" t="s">
        <v>460</v>
      </c>
      <c r="C43" s="26"/>
      <c r="D43" s="174"/>
      <c r="E43" s="26"/>
      <c r="F43" s="26"/>
      <c r="G43" s="30"/>
      <c r="H43" s="82"/>
      <c r="I43" s="237" t="s">
        <v>156</v>
      </c>
      <c r="J43" s="26"/>
      <c r="K43" s="27"/>
      <c r="L43" s="82"/>
      <c r="M43" s="26"/>
      <c r="N43" s="26"/>
      <c r="O43" s="26"/>
      <c r="P43" s="82"/>
      <c r="Q43" s="26"/>
      <c r="R43" s="26"/>
      <c r="S43" s="26"/>
      <c r="T43" s="82"/>
      <c r="U43" s="45" t="s">
        <v>405</v>
      </c>
      <c r="V43" s="33"/>
      <c r="W43" s="173">
        <v>2989</v>
      </c>
      <c r="X43" s="45"/>
      <c r="Y43" s="25"/>
      <c r="Z43" s="28"/>
      <c r="AB43" s="219">
        <f>W43*585</f>
        <v>1748565</v>
      </c>
      <c r="AC43" s="258">
        <v>1</v>
      </c>
      <c r="AE43" s="264"/>
    </row>
    <row r="44" spans="1:31" ht="56" x14ac:dyDescent="0.15">
      <c r="A44" s="45" t="s">
        <v>273</v>
      </c>
      <c r="B44" s="25" t="s">
        <v>398</v>
      </c>
      <c r="C44" s="26"/>
      <c r="D44" s="174"/>
      <c r="E44" s="26"/>
      <c r="F44" s="26"/>
      <c r="G44" s="30"/>
      <c r="H44" s="82"/>
      <c r="I44" s="30"/>
      <c r="J44" s="237" t="s">
        <v>156</v>
      </c>
      <c r="K44" s="237" t="s">
        <v>156</v>
      </c>
      <c r="L44" s="82"/>
      <c r="M44" s="237" t="s">
        <v>156</v>
      </c>
      <c r="N44" s="237" t="s">
        <v>156</v>
      </c>
      <c r="O44" s="237" t="s">
        <v>156</v>
      </c>
      <c r="P44" s="82"/>
      <c r="Q44" s="237" t="s">
        <v>156</v>
      </c>
      <c r="R44" s="237" t="s">
        <v>156</v>
      </c>
      <c r="S44" s="26"/>
      <c r="T44" s="82"/>
      <c r="U44" s="45" t="s">
        <v>407</v>
      </c>
      <c r="V44" s="33"/>
      <c r="W44" s="173">
        <v>34188.034188034188</v>
      </c>
      <c r="X44" s="45"/>
      <c r="Y44" s="173"/>
      <c r="Z44" s="28"/>
      <c r="AB44" s="219">
        <f>W44*585</f>
        <v>20000000</v>
      </c>
      <c r="AC44" s="258">
        <v>1</v>
      </c>
      <c r="AE44" s="264"/>
    </row>
    <row r="45" spans="1:31" ht="42" x14ac:dyDescent="0.15">
      <c r="A45" s="22" t="s">
        <v>182</v>
      </c>
      <c r="B45" s="23"/>
      <c r="C45" s="23"/>
      <c r="D45" s="23"/>
      <c r="E45" s="23"/>
      <c r="F45" s="23"/>
      <c r="G45" s="23"/>
      <c r="H45" s="23"/>
      <c r="I45" s="23"/>
      <c r="J45" s="23"/>
      <c r="K45" s="23"/>
      <c r="L45" s="23"/>
      <c r="M45" s="23"/>
      <c r="N45" s="23"/>
      <c r="O45" s="23"/>
      <c r="P45" s="23"/>
      <c r="Q45" s="23"/>
      <c r="R45" s="23"/>
      <c r="S45" s="23"/>
      <c r="T45" s="23"/>
      <c r="U45" s="23"/>
      <c r="V45" s="23"/>
      <c r="W45" s="23"/>
      <c r="X45" s="23"/>
      <c r="Y45" s="23"/>
      <c r="Z45" s="159"/>
      <c r="AC45" s="264"/>
      <c r="AE45" s="264">
        <v>1</v>
      </c>
    </row>
    <row r="46" spans="1:31" ht="70" x14ac:dyDescent="0.15">
      <c r="A46" s="45" t="s">
        <v>291</v>
      </c>
      <c r="B46" s="25" t="s">
        <v>409</v>
      </c>
      <c r="C46" s="26"/>
      <c r="D46" s="174"/>
      <c r="E46" s="26"/>
      <c r="F46" s="237"/>
      <c r="G46" s="237"/>
      <c r="H46" s="82"/>
      <c r="I46" s="237" t="s">
        <v>156</v>
      </c>
      <c r="J46" s="237"/>
      <c r="K46" s="237"/>
      <c r="L46" s="82"/>
      <c r="M46" s="26"/>
      <c r="N46" s="26"/>
      <c r="O46" s="26"/>
      <c r="P46" s="82"/>
      <c r="Q46" s="26"/>
      <c r="R46" s="26"/>
      <c r="S46" s="26"/>
      <c r="T46" s="82"/>
      <c r="U46" s="45" t="s">
        <v>408</v>
      </c>
      <c r="V46" s="25"/>
      <c r="W46" s="173"/>
      <c r="X46" s="45"/>
      <c r="Y46" s="173">
        <v>5128.2051282051279</v>
      </c>
      <c r="Z46" s="28"/>
      <c r="AB46" s="29">
        <f>Y46*585</f>
        <v>3000000</v>
      </c>
      <c r="AC46" s="258">
        <v>1</v>
      </c>
      <c r="AE46" s="264"/>
    </row>
    <row r="47" spans="1:31" ht="42" x14ac:dyDescent="0.15">
      <c r="A47" s="140" t="s">
        <v>292</v>
      </c>
      <c r="B47" s="56" t="s">
        <v>161</v>
      </c>
      <c r="C47" s="26"/>
      <c r="D47" s="175"/>
      <c r="E47" s="26"/>
      <c r="F47" s="26"/>
      <c r="G47" s="26"/>
      <c r="H47" s="175"/>
      <c r="I47" s="30"/>
      <c r="J47" s="42"/>
      <c r="K47" s="26"/>
      <c r="L47" s="175"/>
      <c r="M47" s="237" t="s">
        <v>156</v>
      </c>
      <c r="N47" s="26"/>
      <c r="O47" s="26"/>
      <c r="P47" s="175"/>
      <c r="Q47" s="26"/>
      <c r="R47" s="26"/>
      <c r="S47" s="26"/>
      <c r="T47" s="175"/>
      <c r="U47" s="45" t="s">
        <v>351</v>
      </c>
      <c r="V47" s="33"/>
      <c r="W47" s="178">
        <v>855</v>
      </c>
      <c r="X47" s="153"/>
      <c r="Y47" s="26"/>
      <c r="Z47" s="26"/>
      <c r="AB47" s="29">
        <f>W47*585</f>
        <v>500175</v>
      </c>
      <c r="AC47" s="258">
        <v>1</v>
      </c>
      <c r="AD47" s="256">
        <f>SUM(AC31:AC47)</f>
        <v>11</v>
      </c>
      <c r="AE47" s="257">
        <f>SUM(AE30:AE46)</f>
        <v>7</v>
      </c>
    </row>
    <row r="48" spans="1:31" ht="14" x14ac:dyDescent="0.15">
      <c r="A48" s="59" t="s">
        <v>37</v>
      </c>
      <c r="B48" s="60"/>
      <c r="C48" s="60"/>
      <c r="D48" s="60"/>
      <c r="E48" s="60"/>
      <c r="F48" s="60"/>
      <c r="G48" s="60"/>
      <c r="H48" s="60"/>
      <c r="I48" s="60"/>
      <c r="J48" s="60"/>
      <c r="K48" s="60"/>
      <c r="L48" s="60"/>
      <c r="M48" s="60"/>
      <c r="N48" s="60"/>
      <c r="O48" s="60"/>
      <c r="P48" s="60"/>
      <c r="Q48" s="60"/>
      <c r="R48" s="60"/>
      <c r="S48" s="60"/>
      <c r="T48" s="60"/>
      <c r="U48" s="60"/>
      <c r="V48" s="60"/>
      <c r="W48" s="60"/>
      <c r="X48" s="60"/>
      <c r="Y48" s="60"/>
      <c r="Z48" s="61"/>
    </row>
    <row r="49" spans="1:31" ht="28" x14ac:dyDescent="0.15">
      <c r="A49" s="36" t="s">
        <v>38</v>
      </c>
      <c r="B49" s="23"/>
      <c r="C49" s="23"/>
      <c r="D49" s="23"/>
      <c r="E49" s="23"/>
      <c r="F49" s="23"/>
      <c r="G49" s="23"/>
      <c r="H49" s="23"/>
      <c r="I49" s="23"/>
      <c r="J49" s="23"/>
      <c r="K49" s="23"/>
      <c r="L49" s="23"/>
      <c r="M49" s="23"/>
      <c r="N49" s="23"/>
      <c r="O49" s="23"/>
      <c r="P49" s="23"/>
      <c r="Q49" s="23"/>
      <c r="R49" s="23"/>
      <c r="S49" s="23"/>
      <c r="T49" s="23"/>
      <c r="U49" s="23"/>
      <c r="V49" s="23"/>
      <c r="W49" s="23"/>
      <c r="X49" s="23"/>
      <c r="Y49" s="52"/>
      <c r="Z49" s="161" t="s">
        <v>137</v>
      </c>
      <c r="AC49" s="266"/>
      <c r="AE49" s="258">
        <v>1</v>
      </c>
    </row>
    <row r="50" spans="1:31" ht="28" x14ac:dyDescent="0.15">
      <c r="A50" s="45" t="s">
        <v>410</v>
      </c>
      <c r="B50" s="45" t="s">
        <v>256</v>
      </c>
      <c r="C50" s="47"/>
      <c r="D50" s="175"/>
      <c r="E50" s="45"/>
      <c r="F50" s="45"/>
      <c r="G50" s="45"/>
      <c r="H50" s="175"/>
      <c r="I50" s="237" t="s">
        <v>156</v>
      </c>
      <c r="J50" s="45"/>
      <c r="K50" s="48"/>
      <c r="L50" s="175"/>
      <c r="M50" s="48"/>
      <c r="N50" s="45"/>
      <c r="O50" s="45"/>
      <c r="P50" s="175"/>
      <c r="Q50" s="45"/>
      <c r="R50" s="45"/>
      <c r="S50" s="45"/>
      <c r="T50" s="175"/>
      <c r="U50" s="45" t="s">
        <v>245</v>
      </c>
      <c r="V50" s="45"/>
      <c r="W50" s="173">
        <v>450000</v>
      </c>
      <c r="X50" s="235"/>
      <c r="Y50" s="47"/>
      <c r="Z50" s="54"/>
      <c r="AB50" s="29">
        <f>W50*585</f>
        <v>263250000</v>
      </c>
      <c r="AC50" s="264">
        <v>1</v>
      </c>
      <c r="AE50" s="264"/>
    </row>
    <row r="51" spans="1:31" ht="28" x14ac:dyDescent="0.15">
      <c r="A51" s="253" t="s">
        <v>259</v>
      </c>
      <c r="B51" s="226" t="s">
        <v>340</v>
      </c>
      <c r="C51" s="26"/>
      <c r="D51" s="175"/>
      <c r="E51" s="26"/>
      <c r="F51" s="26"/>
      <c r="G51" s="237" t="s">
        <v>156</v>
      </c>
      <c r="H51" s="175"/>
      <c r="I51" s="237"/>
      <c r="J51" s="62"/>
      <c r="K51" s="27"/>
      <c r="L51" s="175"/>
      <c r="M51" s="26"/>
      <c r="N51" s="26"/>
      <c r="O51" s="26"/>
      <c r="P51" s="175"/>
      <c r="Q51" s="26"/>
      <c r="R51" s="26"/>
      <c r="S51" s="26"/>
      <c r="T51" s="175"/>
      <c r="U51" s="251" t="s">
        <v>93</v>
      </c>
      <c r="V51" s="26"/>
      <c r="W51" s="173">
        <v>73022.434188034182</v>
      </c>
      <c r="X51" s="154"/>
      <c r="Y51" s="26"/>
      <c r="Z51" s="28"/>
      <c r="AB51" s="29">
        <f>W51*585</f>
        <v>42718124</v>
      </c>
      <c r="AC51" s="264">
        <v>1</v>
      </c>
      <c r="AE51" s="264"/>
    </row>
    <row r="52" spans="1:31" ht="28" x14ac:dyDescent="0.15">
      <c r="A52" s="45" t="s">
        <v>456</v>
      </c>
      <c r="B52" s="25" t="s">
        <v>354</v>
      </c>
      <c r="C52" s="26"/>
      <c r="D52" s="175"/>
      <c r="E52" s="26"/>
      <c r="F52" s="26"/>
      <c r="G52" s="26"/>
      <c r="H52" s="175"/>
      <c r="I52" s="237" t="s">
        <v>156</v>
      </c>
      <c r="J52" s="62"/>
      <c r="K52" s="27"/>
      <c r="L52" s="175"/>
      <c r="N52" s="26"/>
      <c r="O52" s="26"/>
      <c r="P52" s="175"/>
      <c r="Q52" s="26"/>
      <c r="R52" s="26"/>
      <c r="S52" s="26"/>
      <c r="T52" s="175"/>
      <c r="U52" s="25" t="s">
        <v>93</v>
      </c>
      <c r="V52" s="26"/>
      <c r="W52" s="173">
        <f>2*31878.6*1.15</f>
        <v>73320.779999999984</v>
      </c>
      <c r="X52" s="154"/>
      <c r="Y52" s="26"/>
      <c r="Z52" s="28"/>
      <c r="AB52" s="29">
        <f>W52*585</f>
        <v>42892656.29999999</v>
      </c>
      <c r="AC52" s="264">
        <v>1</v>
      </c>
      <c r="AE52" s="264"/>
    </row>
    <row r="53" spans="1:31" ht="28" x14ac:dyDescent="0.15">
      <c r="A53" s="36" t="s">
        <v>193</v>
      </c>
      <c r="B53" s="23"/>
      <c r="C53" s="23"/>
      <c r="D53" s="23"/>
      <c r="E53" s="23"/>
      <c r="F53" s="23"/>
      <c r="G53" s="23"/>
      <c r="H53" s="23"/>
      <c r="I53" s="23"/>
      <c r="J53" s="23"/>
      <c r="K53" s="23"/>
      <c r="L53" s="23"/>
      <c r="M53" s="23"/>
      <c r="N53" s="23"/>
      <c r="O53" s="23"/>
      <c r="P53" s="23"/>
      <c r="Q53" s="23"/>
      <c r="R53" s="23"/>
      <c r="S53" s="23"/>
      <c r="T53" s="23"/>
      <c r="U53" s="23"/>
      <c r="V53" s="23"/>
      <c r="W53" s="23"/>
      <c r="X53" s="23"/>
      <c r="Y53" s="52"/>
      <c r="Z53" s="24" t="s">
        <v>134</v>
      </c>
      <c r="AC53" s="264"/>
      <c r="AE53" s="258">
        <v>1</v>
      </c>
    </row>
    <row r="54" spans="1:31" ht="42" x14ac:dyDescent="0.15">
      <c r="A54" s="45" t="s">
        <v>151</v>
      </c>
      <c r="B54" s="45" t="s">
        <v>355</v>
      </c>
      <c r="C54" s="47"/>
      <c r="D54" s="175"/>
      <c r="E54" s="26"/>
      <c r="F54" s="26"/>
      <c r="G54" s="237" t="s">
        <v>156</v>
      </c>
      <c r="H54" s="175"/>
      <c r="I54" s="33"/>
      <c r="J54" s="33"/>
      <c r="K54" s="237" t="s">
        <v>156</v>
      </c>
      <c r="L54" s="175"/>
      <c r="M54" s="27"/>
      <c r="N54" s="27"/>
      <c r="O54" s="237" t="s">
        <v>156</v>
      </c>
      <c r="P54" s="175"/>
      <c r="Q54" s="26"/>
      <c r="R54" s="63"/>
      <c r="S54" s="237" t="s">
        <v>156</v>
      </c>
      <c r="T54" s="175"/>
      <c r="U54" s="25" t="s">
        <v>356</v>
      </c>
      <c r="V54" s="26"/>
      <c r="W54" s="173">
        <f>1524.4901723741*1.15</f>
        <v>1753.1636982302148</v>
      </c>
      <c r="X54" s="26"/>
      <c r="Y54" s="26"/>
      <c r="Z54" s="35"/>
      <c r="AB54" s="29">
        <f>W54*585</f>
        <v>1025600.7634646756</v>
      </c>
      <c r="AC54" s="264">
        <v>1</v>
      </c>
      <c r="AE54" s="264"/>
    </row>
    <row r="55" spans="1:31" ht="42" x14ac:dyDescent="0.15">
      <c r="A55" s="31" t="s">
        <v>183</v>
      </c>
      <c r="B55" s="23"/>
      <c r="C55" s="23"/>
      <c r="D55" s="23"/>
      <c r="E55" s="23"/>
      <c r="F55" s="23"/>
      <c r="G55" s="23"/>
      <c r="H55" s="23"/>
      <c r="I55" s="23"/>
      <c r="J55" s="23"/>
      <c r="K55" s="23"/>
      <c r="L55" s="23"/>
      <c r="M55" s="23"/>
      <c r="N55" s="23"/>
      <c r="O55" s="23"/>
      <c r="P55" s="23"/>
      <c r="Q55" s="23"/>
      <c r="R55" s="23"/>
      <c r="S55" s="23"/>
      <c r="T55" s="23"/>
      <c r="U55" s="23"/>
      <c r="V55" s="23"/>
      <c r="W55" s="23"/>
      <c r="X55" s="23"/>
      <c r="Y55" s="52"/>
      <c r="Z55" s="64" t="s">
        <v>145</v>
      </c>
      <c r="AC55" s="264"/>
      <c r="AE55" s="258">
        <v>1</v>
      </c>
    </row>
    <row r="56" spans="1:31" s="49" customFormat="1" ht="47" customHeight="1" x14ac:dyDescent="0.15">
      <c r="A56" s="45" t="s">
        <v>452</v>
      </c>
      <c r="B56" s="25" t="s">
        <v>411</v>
      </c>
      <c r="C56" s="47"/>
      <c r="D56" s="175"/>
      <c r="E56" s="26"/>
      <c r="F56" s="45"/>
      <c r="G56" s="45"/>
      <c r="H56" s="175"/>
      <c r="I56" s="33"/>
      <c r="J56" s="45"/>
      <c r="K56" s="181" t="s">
        <v>156</v>
      </c>
      <c r="L56" s="175"/>
      <c r="M56" s="45"/>
      <c r="N56" s="45"/>
      <c r="O56" s="45"/>
      <c r="P56" s="175"/>
      <c r="Q56" s="45"/>
      <c r="R56" s="45"/>
      <c r="S56" s="45"/>
      <c r="T56" s="175"/>
      <c r="U56" s="25" t="s">
        <v>148</v>
      </c>
      <c r="V56" s="47"/>
      <c r="W56" s="173"/>
      <c r="X56" s="47"/>
      <c r="Y56" s="173">
        <f>1143.4*1.15</f>
        <v>1314.91</v>
      </c>
      <c r="Z56" s="47"/>
      <c r="AB56" s="29">
        <f>Y56*585</f>
        <v>769222.35000000009</v>
      </c>
      <c r="AC56" s="267">
        <v>1</v>
      </c>
      <c r="AE56" s="270"/>
    </row>
    <row r="57" spans="1:31" s="43" customFormat="1" ht="42" x14ac:dyDescent="0.15">
      <c r="A57" s="45" t="s">
        <v>39</v>
      </c>
      <c r="B57" s="139" t="s">
        <v>412</v>
      </c>
      <c r="C57" s="41"/>
      <c r="D57" s="175"/>
      <c r="E57" s="40"/>
      <c r="F57" s="40"/>
      <c r="G57" s="40"/>
      <c r="H57" s="175"/>
      <c r="I57" s="33"/>
      <c r="J57" s="40"/>
      <c r="K57" s="40"/>
      <c r="L57" s="175"/>
      <c r="M57" s="45"/>
      <c r="N57" s="40"/>
      <c r="O57" s="181" t="s">
        <v>156</v>
      </c>
      <c r="P57" s="175"/>
      <c r="Q57" s="181" t="s">
        <v>156</v>
      </c>
      <c r="R57" s="181" t="s">
        <v>156</v>
      </c>
      <c r="S57" s="44"/>
      <c r="T57" s="175"/>
      <c r="U57" s="40" t="s">
        <v>95</v>
      </c>
      <c r="V57" s="41"/>
      <c r="W57" s="173"/>
      <c r="X57" s="147"/>
      <c r="Y57" s="173"/>
      <c r="Z57" s="41"/>
      <c r="AB57" s="29">
        <f>Y57*585</f>
        <v>0</v>
      </c>
      <c r="AC57" s="268"/>
      <c r="AE57" s="268"/>
    </row>
    <row r="58" spans="1:31" s="126" customFormat="1" ht="28" x14ac:dyDescent="0.15">
      <c r="A58" s="45" t="s">
        <v>202</v>
      </c>
      <c r="B58" s="45" t="s">
        <v>40</v>
      </c>
      <c r="D58" s="175"/>
      <c r="E58" s="40"/>
      <c r="F58" s="125"/>
      <c r="G58" s="125"/>
      <c r="H58" s="175"/>
      <c r="I58" s="33"/>
      <c r="J58" s="125"/>
      <c r="K58" s="125"/>
      <c r="L58" s="175"/>
      <c r="M58" s="45"/>
      <c r="N58" s="125"/>
      <c r="O58" s="125"/>
      <c r="P58" s="175"/>
      <c r="Q58" s="181" t="s">
        <v>156</v>
      </c>
      <c r="R58" s="181" t="s">
        <v>156</v>
      </c>
      <c r="S58" s="181" t="s">
        <v>156</v>
      </c>
      <c r="T58" s="175"/>
      <c r="U58" s="40" t="s">
        <v>203</v>
      </c>
      <c r="V58" s="125"/>
      <c r="W58" s="173"/>
      <c r="X58" s="173"/>
      <c r="Y58" s="173">
        <v>81581.196581196578</v>
      </c>
      <c r="Z58" s="125"/>
      <c r="AB58" s="29">
        <f>Y58*585</f>
        <v>47725000</v>
      </c>
      <c r="AC58" s="269">
        <v>1</v>
      </c>
      <c r="AE58" s="271"/>
    </row>
    <row r="59" spans="1:31" s="126" customFormat="1" ht="67" customHeight="1" x14ac:dyDescent="0.15">
      <c r="A59" s="45" t="s">
        <v>75</v>
      </c>
      <c r="B59" s="45" t="s">
        <v>413</v>
      </c>
      <c r="C59" s="125"/>
      <c r="D59" s="175"/>
      <c r="E59" s="181" t="s">
        <v>156</v>
      </c>
      <c r="F59" s="181" t="s">
        <v>156</v>
      </c>
      <c r="G59" s="181" t="s">
        <v>156</v>
      </c>
      <c r="H59" s="175"/>
      <c r="I59" s="181" t="s">
        <v>156</v>
      </c>
      <c r="J59" s="181" t="s">
        <v>156</v>
      </c>
      <c r="K59" s="181" t="s">
        <v>156</v>
      </c>
      <c r="L59" s="175"/>
      <c r="M59" s="181" t="s">
        <v>156</v>
      </c>
      <c r="N59" s="181" t="s">
        <v>156</v>
      </c>
      <c r="O59" s="181" t="s">
        <v>156</v>
      </c>
      <c r="P59" s="175"/>
      <c r="Q59" s="181" t="s">
        <v>156</v>
      </c>
      <c r="R59" s="181" t="s">
        <v>156</v>
      </c>
      <c r="S59" s="181" t="s">
        <v>156</v>
      </c>
      <c r="T59" s="175"/>
      <c r="U59" s="40" t="s">
        <v>94</v>
      </c>
      <c r="V59" s="125"/>
      <c r="W59" s="173">
        <v>247741.452991453</v>
      </c>
      <c r="X59" s="173"/>
      <c r="Y59" s="125"/>
      <c r="Z59" s="125"/>
      <c r="AB59" s="29">
        <f>W59*585</f>
        <v>144928750</v>
      </c>
      <c r="AC59" s="269">
        <v>1</v>
      </c>
      <c r="AE59" s="271"/>
    </row>
    <row r="60" spans="1:31" ht="90" customHeight="1" x14ac:dyDescent="0.15">
      <c r="A60" s="45" t="s">
        <v>41</v>
      </c>
      <c r="B60" s="45" t="s">
        <v>392</v>
      </c>
      <c r="D60" s="175"/>
      <c r="E60" s="26"/>
      <c r="F60" s="26"/>
      <c r="G60" s="26"/>
      <c r="H60" s="175"/>
      <c r="I60" s="26"/>
      <c r="J60" s="26"/>
      <c r="K60" s="26"/>
      <c r="L60" s="175"/>
      <c r="M60" s="181" t="s">
        <v>156</v>
      </c>
      <c r="N60" s="26"/>
      <c r="O60" s="26"/>
      <c r="P60" s="175"/>
      <c r="Q60" s="26"/>
      <c r="R60" s="25"/>
      <c r="S60" s="26"/>
      <c r="T60" s="175"/>
      <c r="U60" s="25" t="s">
        <v>414</v>
      </c>
      <c r="V60" s="26"/>
      <c r="W60" s="173">
        <v>5213.6752136752139</v>
      </c>
      <c r="X60" s="26"/>
      <c r="Y60" s="173"/>
      <c r="Z60" s="26"/>
      <c r="AB60" s="29">
        <f>W60*585</f>
        <v>3050000</v>
      </c>
      <c r="AC60" s="258">
        <v>1</v>
      </c>
      <c r="AE60" s="264"/>
    </row>
    <row r="61" spans="1:31" ht="28" x14ac:dyDescent="0.15">
      <c r="A61" s="36" t="s">
        <v>194</v>
      </c>
      <c r="B61" s="179"/>
      <c r="C61" s="180"/>
      <c r="D61" s="180"/>
      <c r="E61" s="180"/>
      <c r="F61" s="180"/>
      <c r="G61" s="180"/>
      <c r="H61" s="180"/>
      <c r="I61" s="180"/>
      <c r="J61" s="180"/>
      <c r="K61" s="180"/>
      <c r="L61" s="23"/>
      <c r="M61" s="23"/>
      <c r="N61" s="23"/>
      <c r="O61" s="23"/>
      <c r="P61" s="23"/>
      <c r="Q61" s="23"/>
      <c r="R61" s="23"/>
      <c r="S61" s="23"/>
      <c r="T61" s="23"/>
      <c r="U61" s="23"/>
      <c r="V61" s="23"/>
      <c r="W61" s="23"/>
      <c r="X61" s="23"/>
      <c r="Y61" s="52"/>
      <c r="Z61" s="24" t="s">
        <v>130</v>
      </c>
      <c r="AC61" s="264"/>
      <c r="AE61" s="258">
        <v>1</v>
      </c>
    </row>
    <row r="62" spans="1:31" ht="53" customHeight="1" x14ac:dyDescent="0.15">
      <c r="A62" s="45" t="s">
        <v>184</v>
      </c>
      <c r="B62" s="45" t="s">
        <v>394</v>
      </c>
      <c r="C62" s="47"/>
      <c r="D62" s="175"/>
      <c r="E62" s="47"/>
      <c r="F62" s="47"/>
      <c r="G62" s="47"/>
      <c r="H62" s="175"/>
      <c r="I62" s="181" t="s">
        <v>156</v>
      </c>
      <c r="J62" s="47"/>
      <c r="K62" s="47"/>
      <c r="L62" s="175"/>
      <c r="M62" s="47"/>
      <c r="N62" s="47"/>
      <c r="O62" s="47"/>
      <c r="P62" s="175"/>
      <c r="Q62" s="47"/>
      <c r="R62" s="47"/>
      <c r="S62" s="47"/>
      <c r="T62" s="175"/>
      <c r="U62" s="45" t="s">
        <v>191</v>
      </c>
      <c r="V62" s="26"/>
      <c r="W62" s="26"/>
      <c r="X62" s="26"/>
      <c r="Y62" s="172">
        <v>96231.181196581194</v>
      </c>
      <c r="Z62" s="26"/>
      <c r="AA62" s="66"/>
      <c r="AB62" s="236">
        <f>Y62*585</f>
        <v>56295241</v>
      </c>
      <c r="AC62" s="258">
        <v>1</v>
      </c>
      <c r="AE62" s="264"/>
    </row>
    <row r="63" spans="1:31" ht="28" x14ac:dyDescent="0.15">
      <c r="A63" s="45" t="s">
        <v>152</v>
      </c>
      <c r="B63" s="45" t="s">
        <v>355</v>
      </c>
      <c r="C63" s="47"/>
      <c r="D63" s="175"/>
      <c r="E63" s="47"/>
      <c r="F63" s="47"/>
      <c r="G63" s="181" t="s">
        <v>156</v>
      </c>
      <c r="H63" s="175"/>
      <c r="I63" s="67"/>
      <c r="J63" s="47"/>
      <c r="K63" s="47"/>
      <c r="L63" s="175"/>
      <c r="M63" s="47"/>
      <c r="N63" s="47"/>
      <c r="O63" s="48"/>
      <c r="P63" s="175"/>
      <c r="Q63" s="47"/>
      <c r="R63" s="47"/>
      <c r="S63" s="47"/>
      <c r="T63" s="175"/>
      <c r="U63" s="45" t="s">
        <v>318</v>
      </c>
      <c r="V63" s="26"/>
      <c r="W63" s="173">
        <v>2805.06</v>
      </c>
      <c r="X63" s="26"/>
      <c r="Y63" s="26"/>
      <c r="Z63" s="26"/>
      <c r="AA63" s="68"/>
      <c r="AB63" s="29">
        <f>W63*585</f>
        <v>1640960.0999999999</v>
      </c>
      <c r="AC63" s="258">
        <v>1</v>
      </c>
      <c r="AE63" s="264"/>
    </row>
    <row r="64" spans="1:31" ht="32" customHeight="1" x14ac:dyDescent="0.15">
      <c r="A64" s="36" t="s">
        <v>415</v>
      </c>
      <c r="B64" s="23"/>
      <c r="C64" s="23"/>
      <c r="D64" s="23"/>
      <c r="E64" s="23"/>
      <c r="F64" s="23"/>
      <c r="G64" s="23"/>
      <c r="H64" s="23"/>
      <c r="I64" s="23"/>
      <c r="J64" s="23"/>
      <c r="K64" s="23"/>
      <c r="L64" s="23"/>
      <c r="M64" s="23"/>
      <c r="N64" s="23"/>
      <c r="O64" s="23"/>
      <c r="P64" s="23"/>
      <c r="Q64" s="23"/>
      <c r="R64" s="23"/>
      <c r="S64" s="23"/>
      <c r="T64" s="23"/>
      <c r="U64" s="23"/>
      <c r="V64" s="23"/>
      <c r="W64" s="23"/>
      <c r="X64" s="23"/>
      <c r="Y64" s="52"/>
      <c r="Z64" s="24" t="s">
        <v>129</v>
      </c>
      <c r="AC64" s="258"/>
      <c r="AE64" s="258">
        <v>1</v>
      </c>
    </row>
    <row r="65" spans="1:225" ht="42" x14ac:dyDescent="0.2">
      <c r="A65" s="45" t="s">
        <v>352</v>
      </c>
      <c r="B65" s="45" t="s">
        <v>205</v>
      </c>
      <c r="D65" s="175"/>
      <c r="E65" s="181" t="s">
        <v>156</v>
      </c>
      <c r="F65" s="181" t="s">
        <v>156</v>
      </c>
      <c r="G65" s="181" t="s">
        <v>156</v>
      </c>
      <c r="H65" s="175"/>
      <c r="I65" s="181" t="s">
        <v>156</v>
      </c>
      <c r="J65" s="181" t="s">
        <v>156</v>
      </c>
      <c r="K65" s="181" t="s">
        <v>156</v>
      </c>
      <c r="L65" s="175"/>
      <c r="M65" s="181" t="s">
        <v>156</v>
      </c>
      <c r="N65" s="181" t="s">
        <v>156</v>
      </c>
      <c r="O65" s="181" t="s">
        <v>156</v>
      </c>
      <c r="P65" s="175"/>
      <c r="Q65" s="181" t="s">
        <v>156</v>
      </c>
      <c r="R65" s="181" t="s">
        <v>156</v>
      </c>
      <c r="S65" s="181" t="s">
        <v>156</v>
      </c>
      <c r="T65" s="175"/>
      <c r="U65" s="25" t="s">
        <v>206</v>
      </c>
      <c r="V65" s="26"/>
      <c r="W65" s="173">
        <v>24140.953716690048</v>
      </c>
      <c r="X65" s="26"/>
      <c r="Y65" s="172">
        <v>51282</v>
      </c>
      <c r="Z65" s="54"/>
      <c r="AA65"/>
      <c r="AB65" s="29">
        <f>(W65+Y65)*585</f>
        <v>44122427.924263671</v>
      </c>
      <c r="AC65" s="267">
        <v>1</v>
      </c>
      <c r="AE65" s="270"/>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row>
    <row r="66" spans="1:225" ht="28" x14ac:dyDescent="0.2">
      <c r="A66" s="45" t="s">
        <v>453</v>
      </c>
      <c r="B66" s="45" t="s">
        <v>355</v>
      </c>
      <c r="C66" s="26"/>
      <c r="D66" s="175"/>
      <c r="E66" s="181"/>
      <c r="F66" s="181"/>
      <c r="G66" s="181"/>
      <c r="H66" s="175"/>
      <c r="I66" s="181"/>
      <c r="J66" s="181"/>
      <c r="K66" s="181"/>
      <c r="L66" s="175"/>
      <c r="M66" s="181" t="s">
        <v>156</v>
      </c>
      <c r="N66" s="181" t="s">
        <v>156</v>
      </c>
      <c r="O66" s="181" t="s">
        <v>156</v>
      </c>
      <c r="P66" s="175"/>
      <c r="Q66" s="181"/>
      <c r="R66" s="181"/>
      <c r="S66" s="181"/>
      <c r="T66" s="175"/>
      <c r="U66" s="25" t="s">
        <v>454</v>
      </c>
      <c r="V66" s="26"/>
      <c r="W66" s="173"/>
      <c r="X66" s="26"/>
      <c r="Y66" s="172">
        <v>10256.410256410256</v>
      </c>
      <c r="Z66" s="54"/>
      <c r="AA66"/>
      <c r="AB66" s="29">
        <f>(W66+Y66)*585</f>
        <v>6000000</v>
      </c>
      <c r="AC66" s="267">
        <v>1</v>
      </c>
      <c r="AE66" s="270"/>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row>
    <row r="67" spans="1:225" ht="28" x14ac:dyDescent="0.15">
      <c r="A67" s="36" t="s">
        <v>96</v>
      </c>
      <c r="B67" s="23"/>
      <c r="C67" s="23"/>
      <c r="D67" s="23"/>
      <c r="E67" s="23"/>
      <c r="F67" s="23"/>
      <c r="G67" s="23"/>
      <c r="H67" s="23"/>
      <c r="I67" s="23"/>
      <c r="J67" s="23"/>
      <c r="K67" s="23"/>
      <c r="L67" s="23"/>
      <c r="M67" s="23"/>
      <c r="N67" s="23"/>
      <c r="O67" s="23"/>
      <c r="P67" s="23"/>
      <c r="Q67" s="23"/>
      <c r="R67" s="23"/>
      <c r="S67" s="23"/>
      <c r="T67" s="23"/>
      <c r="U67" s="23"/>
      <c r="V67" s="23"/>
      <c r="W67" s="23"/>
      <c r="X67" s="23"/>
      <c r="Y67" s="52"/>
      <c r="Z67" s="24" t="s">
        <v>135</v>
      </c>
      <c r="AB67" s="49"/>
      <c r="AC67" s="267"/>
      <c r="AE67" s="267">
        <v>1</v>
      </c>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row>
    <row r="68" spans="1:225" s="70" customFormat="1" ht="70" customHeight="1" x14ac:dyDescent="0.15">
      <c r="A68" s="45" t="s">
        <v>393</v>
      </c>
      <c r="B68" s="45" t="s">
        <v>335</v>
      </c>
      <c r="C68" s="45"/>
      <c r="D68" s="175"/>
      <c r="E68" s="45"/>
      <c r="F68" s="45"/>
      <c r="G68" s="45"/>
      <c r="H68" s="175"/>
      <c r="I68" s="45"/>
      <c r="J68" s="181" t="s">
        <v>156</v>
      </c>
      <c r="K68" s="51"/>
      <c r="L68" s="175"/>
      <c r="M68" s="45"/>
      <c r="N68" s="45"/>
      <c r="O68" s="45"/>
      <c r="P68" s="175"/>
      <c r="Q68" s="48"/>
      <c r="R68" s="45"/>
      <c r="S68" s="45"/>
      <c r="T68" s="175"/>
      <c r="U68" s="45" t="s">
        <v>336</v>
      </c>
      <c r="V68" s="26"/>
      <c r="W68" s="173">
        <v>7264.9572649572647</v>
      </c>
      <c r="X68" s="45"/>
      <c r="Y68" s="45"/>
      <c r="Z68" s="45"/>
      <c r="AA68" s="69"/>
      <c r="AB68" s="29">
        <f>W68*585</f>
        <v>4250000</v>
      </c>
      <c r="AC68" s="267">
        <v>1</v>
      </c>
      <c r="AD68" s="7"/>
      <c r="AE68" s="270"/>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row>
    <row r="69" spans="1:225" ht="28" x14ac:dyDescent="0.15">
      <c r="A69" s="36" t="s">
        <v>67</v>
      </c>
      <c r="B69" s="23"/>
      <c r="C69" s="23"/>
      <c r="D69" s="23"/>
      <c r="E69" s="23"/>
      <c r="F69" s="23"/>
      <c r="G69" s="23"/>
      <c r="H69" s="23"/>
      <c r="I69" s="23"/>
      <c r="J69" s="23"/>
      <c r="K69" s="23"/>
      <c r="L69" s="23"/>
      <c r="M69" s="23"/>
      <c r="N69" s="23"/>
      <c r="O69" s="23"/>
      <c r="P69" s="23"/>
      <c r="Q69" s="23"/>
      <c r="R69" s="23"/>
      <c r="S69" s="23"/>
      <c r="T69" s="23"/>
      <c r="U69" s="23"/>
      <c r="V69" s="23"/>
      <c r="W69" s="23"/>
      <c r="X69" s="23"/>
      <c r="Y69" s="23"/>
      <c r="Z69" s="24" t="s">
        <v>135</v>
      </c>
      <c r="AC69" s="265"/>
      <c r="AE69" s="258">
        <v>1</v>
      </c>
    </row>
    <row r="70" spans="1:225" ht="70" customHeight="1" x14ac:dyDescent="0.15">
      <c r="A70" s="25" t="s">
        <v>334</v>
      </c>
      <c r="B70" s="45" t="s">
        <v>335</v>
      </c>
      <c r="C70" s="26"/>
      <c r="D70" s="175"/>
      <c r="E70" s="26"/>
      <c r="F70" s="26"/>
      <c r="G70" s="26"/>
      <c r="H70" s="175"/>
      <c r="I70" s="181" t="s">
        <v>156</v>
      </c>
      <c r="J70" s="32"/>
      <c r="K70" s="32"/>
      <c r="L70" s="175"/>
      <c r="M70" s="32"/>
      <c r="N70" s="32"/>
      <c r="O70" s="32"/>
      <c r="P70" s="175"/>
      <c r="Q70" s="26"/>
      <c r="R70" s="26"/>
      <c r="S70" s="26"/>
      <c r="T70" s="175"/>
      <c r="U70" s="25" t="s">
        <v>97</v>
      </c>
      <c r="V70" s="26"/>
      <c r="W70" s="173">
        <v>8415.1857515050542</v>
      </c>
      <c r="X70" s="26"/>
      <c r="Y70" s="26"/>
      <c r="Z70" s="26"/>
      <c r="AB70" s="29">
        <f>W70*585</f>
        <v>4922883.6646304568</v>
      </c>
      <c r="AC70" s="267">
        <v>1</v>
      </c>
      <c r="AD70" s="256">
        <f>SUM(AC50:AC70)</f>
        <v>14</v>
      </c>
      <c r="AE70" s="274">
        <f>SUM(AE49:AE69)</f>
        <v>7</v>
      </c>
    </row>
    <row r="71" spans="1:225" ht="14" x14ac:dyDescent="0.15">
      <c r="A71" s="59" t="s">
        <v>42</v>
      </c>
      <c r="B71" s="20"/>
      <c r="C71" s="20"/>
      <c r="D71" s="20"/>
      <c r="E71" s="20"/>
      <c r="F71" s="20"/>
      <c r="G71" s="20"/>
      <c r="H71" s="20"/>
      <c r="I71" s="20"/>
      <c r="J71" s="20"/>
      <c r="K71" s="20"/>
      <c r="L71" s="20"/>
      <c r="M71" s="20"/>
      <c r="N71" s="20"/>
      <c r="O71" s="20"/>
      <c r="P71" s="20"/>
      <c r="Q71" s="20"/>
      <c r="R71" s="20"/>
      <c r="S71" s="20"/>
      <c r="T71" s="20"/>
      <c r="U71" s="20"/>
      <c r="V71" s="20"/>
      <c r="W71" s="20"/>
      <c r="X71" s="20"/>
      <c r="Y71" s="20"/>
      <c r="Z71" s="21"/>
    </row>
    <row r="72" spans="1:225" ht="28" x14ac:dyDescent="0.15">
      <c r="A72" s="36" t="s">
        <v>43</v>
      </c>
      <c r="B72" s="23"/>
      <c r="C72" s="23"/>
      <c r="D72" s="23"/>
      <c r="E72" s="23"/>
      <c r="F72" s="23"/>
      <c r="G72" s="23"/>
      <c r="H72" s="23"/>
      <c r="I72" s="23"/>
      <c r="J72" s="23"/>
      <c r="K72" s="23"/>
      <c r="L72" s="23"/>
      <c r="M72" s="23"/>
      <c r="N72" s="23"/>
      <c r="O72" s="23"/>
      <c r="P72" s="23"/>
      <c r="Q72" s="23"/>
      <c r="R72" s="23"/>
      <c r="S72" s="23"/>
      <c r="T72" s="23"/>
      <c r="U72" s="23"/>
      <c r="V72" s="23"/>
      <c r="W72" s="23"/>
      <c r="X72" s="23"/>
      <c r="Y72" s="52"/>
      <c r="Z72" s="24" t="s">
        <v>136</v>
      </c>
      <c r="AE72" s="264">
        <v>1</v>
      </c>
    </row>
    <row r="73" spans="1:225" ht="62" customHeight="1" x14ac:dyDescent="0.15">
      <c r="A73" s="45" t="s">
        <v>319</v>
      </c>
      <c r="B73" s="138" t="s">
        <v>185</v>
      </c>
      <c r="C73" s="25"/>
      <c r="D73" s="175"/>
      <c r="E73" s="26"/>
      <c r="F73" s="181" t="s">
        <v>156</v>
      </c>
      <c r="G73" s="181" t="s">
        <v>156</v>
      </c>
      <c r="H73" s="101"/>
      <c r="I73" s="181" t="s">
        <v>156</v>
      </c>
      <c r="J73" s="26"/>
      <c r="K73" s="26"/>
      <c r="L73" s="109"/>
      <c r="M73" s="26"/>
      <c r="N73" s="26"/>
      <c r="O73" s="27"/>
      <c r="P73" s="109"/>
      <c r="Q73" s="27"/>
      <c r="R73" s="34"/>
      <c r="S73" s="25"/>
      <c r="T73" s="175"/>
      <c r="U73" s="25" t="s">
        <v>341</v>
      </c>
      <c r="V73" s="26"/>
      <c r="W73" s="173">
        <v>17927.287179487179</v>
      </c>
      <c r="X73" s="26"/>
      <c r="Y73" s="26"/>
      <c r="Z73" s="26"/>
      <c r="AB73" s="29">
        <f>W73*585</f>
        <v>10487463</v>
      </c>
      <c r="AC73" s="258">
        <v>1</v>
      </c>
      <c r="AE73" s="264"/>
    </row>
    <row r="74" spans="1:225" ht="28" x14ac:dyDescent="0.15">
      <c r="A74" s="36" t="s">
        <v>293</v>
      </c>
      <c r="B74" s="23"/>
      <c r="C74" s="23"/>
      <c r="D74" s="23"/>
      <c r="E74" s="23"/>
      <c r="F74" s="23"/>
      <c r="G74" s="23"/>
      <c r="H74" s="23"/>
      <c r="I74" s="23"/>
      <c r="J74" s="23"/>
      <c r="K74" s="23"/>
      <c r="L74" s="23"/>
      <c r="M74" s="23"/>
      <c r="N74" s="23"/>
      <c r="O74" s="23"/>
      <c r="P74" s="23"/>
      <c r="Q74" s="23"/>
      <c r="R74" s="23"/>
      <c r="S74" s="23"/>
      <c r="T74" s="23"/>
      <c r="U74" s="23"/>
      <c r="V74" s="23"/>
      <c r="W74" s="23"/>
      <c r="X74" s="23"/>
      <c r="Y74" s="52"/>
      <c r="Z74" s="24" t="s">
        <v>136</v>
      </c>
      <c r="AC74" s="264"/>
      <c r="AE74" s="264">
        <v>1</v>
      </c>
    </row>
    <row r="75" spans="1:225" ht="81" customHeight="1" x14ac:dyDescent="0.15">
      <c r="A75" s="45" t="s">
        <v>298</v>
      </c>
      <c r="B75" s="56" t="s">
        <v>337</v>
      </c>
      <c r="C75" s="225"/>
      <c r="D75" s="307"/>
      <c r="E75" s="225"/>
      <c r="F75" s="181" t="s">
        <v>156</v>
      </c>
      <c r="G75" s="225"/>
      <c r="H75" s="101"/>
      <c r="I75" s="225"/>
      <c r="J75" s="225"/>
      <c r="K75" s="225"/>
      <c r="L75" s="109"/>
      <c r="M75" s="225"/>
      <c r="N75" s="225"/>
      <c r="O75" s="225"/>
      <c r="P75" s="109"/>
      <c r="Q75" s="225"/>
      <c r="R75" s="225"/>
      <c r="S75" s="225"/>
      <c r="T75" s="307"/>
      <c r="U75" s="45" t="s">
        <v>302</v>
      </c>
      <c r="V75" s="25" t="s">
        <v>350</v>
      </c>
      <c r="W75" s="173">
        <v>8836.3418803418808</v>
      </c>
      <c r="X75" s="225"/>
      <c r="Y75" s="225"/>
      <c r="Z75" s="225"/>
      <c r="AB75" s="29">
        <f>W75*585</f>
        <v>5169260</v>
      </c>
      <c r="AC75" s="258">
        <v>1</v>
      </c>
    </row>
    <row r="76" spans="1:225" ht="77" customHeight="1" x14ac:dyDescent="0.15">
      <c r="A76" s="45" t="s">
        <v>299</v>
      </c>
      <c r="B76" s="25" t="s">
        <v>337</v>
      </c>
      <c r="C76" s="225"/>
      <c r="D76" s="308"/>
      <c r="E76" s="225"/>
      <c r="F76" s="225"/>
      <c r="G76" s="181" t="s">
        <v>156</v>
      </c>
      <c r="H76" s="101"/>
      <c r="I76" s="225"/>
      <c r="J76" s="225"/>
      <c r="K76" s="225"/>
      <c r="L76" s="109"/>
      <c r="M76" s="225"/>
      <c r="N76" s="225"/>
      <c r="O76" s="225"/>
      <c r="P76" s="109"/>
      <c r="Q76" s="225"/>
      <c r="R76" s="225"/>
      <c r="S76" s="225"/>
      <c r="T76" s="308"/>
      <c r="U76" s="45" t="s">
        <v>303</v>
      </c>
      <c r="V76" s="25" t="s">
        <v>160</v>
      </c>
      <c r="W76" s="173">
        <v>8836.3418803418808</v>
      </c>
      <c r="X76" s="225"/>
      <c r="Y76" s="225"/>
      <c r="Z76" s="225"/>
      <c r="AB76" s="29">
        <f t="shared" ref="AB76:AB80" si="0">W76*585</f>
        <v>5169260</v>
      </c>
      <c r="AC76" s="264">
        <v>1</v>
      </c>
    </row>
    <row r="77" spans="1:225" ht="81" customHeight="1" x14ac:dyDescent="0.15">
      <c r="A77" s="45" t="s">
        <v>300</v>
      </c>
      <c r="B77" s="25" t="s">
        <v>338</v>
      </c>
      <c r="C77" s="225"/>
      <c r="D77" s="308"/>
      <c r="E77" s="225"/>
      <c r="F77" s="225"/>
      <c r="G77" s="225"/>
      <c r="H77" s="101"/>
      <c r="I77" s="181" t="s">
        <v>156</v>
      </c>
      <c r="J77" s="225"/>
      <c r="K77" s="225"/>
      <c r="L77" s="109"/>
      <c r="M77" s="225"/>
      <c r="N77" s="225"/>
      <c r="O77" s="225"/>
      <c r="P77" s="109"/>
      <c r="Q77" s="225"/>
      <c r="R77" s="225"/>
      <c r="S77" s="225"/>
      <c r="T77" s="308"/>
      <c r="U77" s="45" t="s">
        <v>304</v>
      </c>
      <c r="V77" s="25" t="s">
        <v>160</v>
      </c>
      <c r="W77" s="173">
        <v>12557.564102564103</v>
      </c>
      <c r="X77" s="225"/>
      <c r="Y77" s="225"/>
      <c r="Z77" s="225"/>
      <c r="AB77" s="29">
        <f t="shared" si="0"/>
        <v>7346175.0000000009</v>
      </c>
      <c r="AC77" s="264">
        <v>1</v>
      </c>
    </row>
    <row r="78" spans="1:225" ht="28" x14ac:dyDescent="0.15">
      <c r="A78" s="45" t="s">
        <v>301</v>
      </c>
      <c r="B78" s="25" t="s">
        <v>320</v>
      </c>
      <c r="C78" s="225"/>
      <c r="D78" s="308"/>
      <c r="E78" s="225"/>
      <c r="F78" s="225"/>
      <c r="G78" s="225"/>
      <c r="H78" s="101"/>
      <c r="I78" s="225"/>
      <c r="J78" s="225"/>
      <c r="K78" s="181" t="s">
        <v>156</v>
      </c>
      <c r="L78" s="109"/>
      <c r="M78" s="225"/>
      <c r="N78" s="225"/>
      <c r="O78" s="225"/>
      <c r="P78" s="109"/>
      <c r="Q78" s="225"/>
      <c r="R78" s="225"/>
      <c r="S78" s="225"/>
      <c r="T78" s="308"/>
      <c r="U78" s="45" t="s">
        <v>305</v>
      </c>
      <c r="V78" s="25" t="s">
        <v>160</v>
      </c>
      <c r="W78" s="173">
        <v>3205.1282051282051</v>
      </c>
      <c r="X78" s="225"/>
      <c r="Y78" s="225"/>
      <c r="Z78" s="225"/>
      <c r="AB78" s="29">
        <f t="shared" si="0"/>
        <v>1875000</v>
      </c>
      <c r="AC78" s="264">
        <v>1</v>
      </c>
    </row>
    <row r="79" spans="1:225" ht="56" x14ac:dyDescent="0.15">
      <c r="A79" s="45" t="s">
        <v>416</v>
      </c>
      <c r="B79" s="25" t="s">
        <v>307</v>
      </c>
      <c r="C79" s="225"/>
      <c r="D79" s="308"/>
      <c r="E79" s="225"/>
      <c r="F79" s="225"/>
      <c r="G79" s="181" t="s">
        <v>156</v>
      </c>
      <c r="H79" s="101"/>
      <c r="I79" s="225"/>
      <c r="J79" s="225"/>
      <c r="K79" s="225"/>
      <c r="L79" s="109"/>
      <c r="M79" s="225"/>
      <c r="N79" s="225"/>
      <c r="O79" s="225"/>
      <c r="P79" s="109"/>
      <c r="Q79" s="225"/>
      <c r="R79" s="225"/>
      <c r="S79" s="225"/>
      <c r="T79" s="308"/>
      <c r="U79" s="45" t="s">
        <v>306</v>
      </c>
      <c r="V79" s="25" t="s">
        <v>160</v>
      </c>
      <c r="W79" s="173">
        <v>19914.529914529914</v>
      </c>
      <c r="X79" s="225"/>
      <c r="Y79" s="225"/>
      <c r="Z79" s="225"/>
      <c r="AB79" s="29">
        <f t="shared" ref="AB79" si="1">W79*585</f>
        <v>11650000</v>
      </c>
      <c r="AC79" s="264">
        <v>1</v>
      </c>
      <c r="AD79" s="247"/>
    </row>
    <row r="80" spans="1:225" ht="56" customHeight="1" x14ac:dyDescent="0.15">
      <c r="A80" s="45" t="s">
        <v>417</v>
      </c>
      <c r="B80" s="57" t="s">
        <v>418</v>
      </c>
      <c r="C80" s="225"/>
      <c r="D80" s="308"/>
      <c r="E80" s="181"/>
      <c r="F80" s="181"/>
      <c r="G80" s="181" t="s">
        <v>156</v>
      </c>
      <c r="H80" s="101"/>
      <c r="I80" s="181" t="s">
        <v>156</v>
      </c>
      <c r="J80" s="181" t="s">
        <v>156</v>
      </c>
      <c r="K80" s="181" t="s">
        <v>156</v>
      </c>
      <c r="L80" s="109"/>
      <c r="M80" s="181" t="s">
        <v>156</v>
      </c>
      <c r="N80" s="181" t="s">
        <v>156</v>
      </c>
      <c r="O80" s="181" t="s">
        <v>156</v>
      </c>
      <c r="P80" s="109"/>
      <c r="Q80" s="181" t="s">
        <v>156</v>
      </c>
      <c r="R80" s="181" t="s">
        <v>156</v>
      </c>
      <c r="S80" s="181" t="s">
        <v>156</v>
      </c>
      <c r="T80" s="308"/>
      <c r="U80" s="45" t="s">
        <v>419</v>
      </c>
      <c r="V80" s="25" t="s">
        <v>160</v>
      </c>
      <c r="W80" s="173">
        <v>15026.162393162393</v>
      </c>
      <c r="X80" s="225"/>
      <c r="Y80" s="225"/>
      <c r="Z80" s="225"/>
      <c r="AB80" s="29">
        <f t="shared" si="0"/>
        <v>8790305</v>
      </c>
      <c r="AC80" s="264">
        <v>1</v>
      </c>
      <c r="AD80" s="256">
        <f>SUM(AC73:AC80)</f>
        <v>7</v>
      </c>
      <c r="AE80" s="257">
        <f>SUM(AE72:AE79)</f>
        <v>2</v>
      </c>
    </row>
    <row r="81" spans="1:31" s="84" customFormat="1" x14ac:dyDescent="0.15">
      <c r="A81" s="142" t="s">
        <v>44</v>
      </c>
      <c r="B81" s="107"/>
      <c r="C81" s="20"/>
      <c r="D81" s="20"/>
      <c r="E81" s="20"/>
      <c r="F81" s="20"/>
      <c r="G81" s="20"/>
      <c r="H81" s="20"/>
      <c r="I81" s="20"/>
      <c r="J81" s="20"/>
      <c r="K81" s="20"/>
      <c r="L81" s="20"/>
      <c r="M81" s="20"/>
      <c r="N81" s="20"/>
      <c r="O81" s="20"/>
      <c r="P81" s="20"/>
      <c r="Q81" s="20"/>
      <c r="R81" s="20"/>
      <c r="S81" s="20"/>
      <c r="T81" s="20"/>
      <c r="U81" s="20"/>
      <c r="V81" s="20"/>
      <c r="W81" s="20"/>
      <c r="X81" s="108"/>
      <c r="Y81" s="108"/>
      <c r="Z81" s="110"/>
      <c r="AC81" s="261"/>
    </row>
    <row r="82" spans="1:31" s="84" customFormat="1" ht="28" x14ac:dyDescent="0.15">
      <c r="A82" s="22" t="s">
        <v>247</v>
      </c>
      <c r="B82" s="23"/>
      <c r="C82" s="23"/>
      <c r="D82" s="23"/>
      <c r="E82" s="23"/>
      <c r="F82" s="23"/>
      <c r="G82" s="23"/>
      <c r="H82" s="23"/>
      <c r="I82" s="23"/>
      <c r="J82" s="23"/>
      <c r="K82" s="23"/>
      <c r="L82" s="23"/>
      <c r="M82" s="23"/>
      <c r="N82" s="23"/>
      <c r="O82" s="23"/>
      <c r="P82" s="23"/>
      <c r="Q82" s="23"/>
      <c r="R82" s="23"/>
      <c r="S82" s="23"/>
      <c r="T82" s="23"/>
      <c r="U82" s="23"/>
      <c r="V82" s="23"/>
      <c r="W82" s="23"/>
      <c r="X82" s="76"/>
      <c r="Y82" s="92"/>
      <c r="Z82" s="24" t="s">
        <v>137</v>
      </c>
      <c r="AC82" s="261"/>
      <c r="AE82" s="261">
        <v>1</v>
      </c>
    </row>
    <row r="83" spans="1:31" s="84" customFormat="1" ht="74" customHeight="1" x14ac:dyDescent="0.15">
      <c r="A83" s="45" t="s">
        <v>294</v>
      </c>
      <c r="B83" s="25" t="s">
        <v>373</v>
      </c>
      <c r="C83" s="206"/>
      <c r="D83" s="101"/>
      <c r="E83" s="181" t="s">
        <v>156</v>
      </c>
      <c r="F83" s="181" t="s">
        <v>156</v>
      </c>
      <c r="G83" s="181" t="s">
        <v>156</v>
      </c>
      <c r="H83" s="101"/>
      <c r="I83" s="181" t="s">
        <v>156</v>
      </c>
      <c r="J83" s="181" t="s">
        <v>156</v>
      </c>
      <c r="K83" s="181" t="s">
        <v>156</v>
      </c>
      <c r="L83" s="101"/>
      <c r="M83" s="181" t="s">
        <v>156</v>
      </c>
      <c r="N83" s="181" t="s">
        <v>156</v>
      </c>
      <c r="O83" s="181" t="s">
        <v>156</v>
      </c>
      <c r="P83" s="77"/>
      <c r="Q83" s="100"/>
      <c r="R83" s="112"/>
      <c r="S83" s="112"/>
      <c r="T83" s="101"/>
      <c r="U83" s="40" t="s">
        <v>339</v>
      </c>
      <c r="V83" s="100"/>
      <c r="W83" s="173">
        <v>3506.3273964604414</v>
      </c>
      <c r="X83" s="99"/>
      <c r="Y83" s="100"/>
      <c r="Z83" s="100"/>
      <c r="AB83" s="29">
        <f>W83*585</f>
        <v>2051201.5269293583</v>
      </c>
      <c r="AC83" s="258">
        <v>1</v>
      </c>
      <c r="AE83" s="261"/>
    </row>
    <row r="84" spans="1:31" s="111" customFormat="1" ht="55" customHeight="1" x14ac:dyDescent="0.15">
      <c r="A84" s="45" t="s">
        <v>70</v>
      </c>
      <c r="B84" s="25" t="s">
        <v>371</v>
      </c>
      <c r="C84" s="100"/>
      <c r="D84" s="101"/>
      <c r="E84" s="181" t="s">
        <v>156</v>
      </c>
      <c r="F84" s="181" t="s">
        <v>156</v>
      </c>
      <c r="G84" s="181" t="s">
        <v>156</v>
      </c>
      <c r="H84" s="101"/>
      <c r="I84" s="181" t="s">
        <v>156</v>
      </c>
      <c r="J84" s="181" t="s">
        <v>156</v>
      </c>
      <c r="K84" s="181" t="s">
        <v>156</v>
      </c>
      <c r="L84" s="101"/>
      <c r="M84" s="181" t="s">
        <v>156</v>
      </c>
      <c r="N84" s="181" t="s">
        <v>156</v>
      </c>
      <c r="O84" s="181" t="s">
        <v>156</v>
      </c>
      <c r="P84" s="77"/>
      <c r="Q84" s="100"/>
      <c r="R84" s="112"/>
      <c r="S84" s="112"/>
      <c r="T84" s="101"/>
      <c r="U84" s="40" t="s">
        <v>98</v>
      </c>
      <c r="V84" s="100"/>
      <c r="W84" s="173">
        <v>531494.94957264955</v>
      </c>
      <c r="X84" s="99"/>
      <c r="Y84" s="100"/>
      <c r="Z84" s="100"/>
      <c r="AB84" s="29">
        <f>W84*585</f>
        <v>310924545.5</v>
      </c>
      <c r="AC84" s="264">
        <v>1</v>
      </c>
      <c r="AE84" s="261"/>
    </row>
    <row r="85" spans="1:31" s="111" customFormat="1" ht="73" customHeight="1" x14ac:dyDescent="0.15">
      <c r="A85" s="45" t="s">
        <v>420</v>
      </c>
      <c r="B85" s="25" t="s">
        <v>370</v>
      </c>
      <c r="C85" s="100"/>
      <c r="D85" s="101"/>
      <c r="E85" s="181" t="s">
        <v>156</v>
      </c>
      <c r="F85" s="181" t="s">
        <v>156</v>
      </c>
      <c r="G85" s="181" t="s">
        <v>156</v>
      </c>
      <c r="H85" s="101"/>
      <c r="I85" s="181" t="s">
        <v>156</v>
      </c>
      <c r="J85" s="181" t="s">
        <v>156</v>
      </c>
      <c r="K85" s="181" t="s">
        <v>156</v>
      </c>
      <c r="L85" s="101"/>
      <c r="M85" s="181" t="s">
        <v>156</v>
      </c>
      <c r="N85" s="181" t="s">
        <v>156</v>
      </c>
      <c r="O85" s="181" t="s">
        <v>156</v>
      </c>
      <c r="P85" s="77"/>
      <c r="Q85" s="100"/>
      <c r="R85" s="100"/>
      <c r="S85" s="100"/>
      <c r="T85" s="101"/>
      <c r="U85" s="40" t="s">
        <v>99</v>
      </c>
      <c r="V85" s="100"/>
      <c r="W85" s="173">
        <v>47033.837606837609</v>
      </c>
      <c r="X85" s="100"/>
      <c r="Y85" s="100"/>
      <c r="Z85" s="100"/>
      <c r="AB85" s="29">
        <f>W85*585</f>
        <v>27514795</v>
      </c>
      <c r="AC85" s="258">
        <v>1</v>
      </c>
      <c r="AE85" s="261"/>
    </row>
    <row r="86" spans="1:31" s="84" customFormat="1" ht="42" x14ac:dyDescent="0.15">
      <c r="A86" s="36" t="s">
        <v>260</v>
      </c>
      <c r="B86" s="23"/>
      <c r="C86" s="23"/>
      <c r="D86" s="23"/>
      <c r="E86" s="23"/>
      <c r="F86" s="23"/>
      <c r="G86" s="23"/>
      <c r="H86" s="23"/>
      <c r="I86" s="23"/>
      <c r="J86" s="23"/>
      <c r="K86" s="23"/>
      <c r="L86" s="23"/>
      <c r="M86" s="23"/>
      <c r="N86" s="23"/>
      <c r="O86" s="23"/>
      <c r="P86" s="23"/>
      <c r="Q86" s="23"/>
      <c r="R86" s="23"/>
      <c r="S86" s="23"/>
      <c r="T86" s="23"/>
      <c r="U86" s="23"/>
      <c r="V86" s="23"/>
      <c r="W86" s="23"/>
      <c r="X86" s="76"/>
      <c r="Y86" s="92"/>
      <c r="Z86" s="24" t="s">
        <v>137</v>
      </c>
      <c r="AC86" s="264"/>
      <c r="AD86" s="111"/>
      <c r="AE86" s="261">
        <v>1</v>
      </c>
    </row>
    <row r="87" spans="1:31" s="84" customFormat="1" ht="72" customHeight="1" x14ac:dyDescent="0.15">
      <c r="A87" s="45" t="s">
        <v>294</v>
      </c>
      <c r="B87" s="25" t="s">
        <v>373</v>
      </c>
      <c r="C87" s="206"/>
      <c r="D87" s="101"/>
      <c r="E87" s="48"/>
      <c r="F87" s="48"/>
      <c r="G87" s="48"/>
      <c r="H87" s="101"/>
      <c r="I87" s="181" t="s">
        <v>156</v>
      </c>
      <c r="J87" s="181" t="s">
        <v>156</v>
      </c>
      <c r="K87" s="181" t="s">
        <v>156</v>
      </c>
      <c r="L87" s="101"/>
      <c r="M87" s="181" t="s">
        <v>156</v>
      </c>
      <c r="N87" s="181" t="s">
        <v>156</v>
      </c>
      <c r="O87" s="181" t="s">
        <v>156</v>
      </c>
      <c r="P87" s="77"/>
      <c r="Q87" s="100"/>
      <c r="R87" s="112"/>
      <c r="S87" s="112"/>
      <c r="T87" s="101"/>
      <c r="U87" s="40" t="s">
        <v>295</v>
      </c>
      <c r="V87" s="100"/>
      <c r="W87" s="173">
        <v>3506.3273964604414</v>
      </c>
      <c r="X87" s="99"/>
      <c r="Y87" s="100"/>
      <c r="Z87" s="100"/>
      <c r="AB87" s="29">
        <f>W87*585</f>
        <v>2051201.5269293583</v>
      </c>
      <c r="AC87" s="258">
        <v>1</v>
      </c>
      <c r="AE87" s="261"/>
    </row>
    <row r="88" spans="1:31" s="111" customFormat="1" ht="42" x14ac:dyDescent="0.15">
      <c r="A88" s="45" t="s">
        <v>70</v>
      </c>
      <c r="B88" s="25" t="s">
        <v>371</v>
      </c>
      <c r="C88" s="83"/>
      <c r="D88" s="101"/>
      <c r="E88" s="100"/>
      <c r="F88" s="100"/>
      <c r="G88" s="100"/>
      <c r="H88" s="101"/>
      <c r="I88" s="181" t="s">
        <v>156</v>
      </c>
      <c r="J88" s="181" t="s">
        <v>156</v>
      </c>
      <c r="K88" s="181" t="s">
        <v>156</v>
      </c>
      <c r="L88" s="101"/>
      <c r="M88" s="181" t="s">
        <v>156</v>
      </c>
      <c r="N88" s="181" t="s">
        <v>156</v>
      </c>
      <c r="O88" s="181" t="s">
        <v>156</v>
      </c>
      <c r="P88" s="101"/>
      <c r="Q88" s="100"/>
      <c r="R88" s="100"/>
      <c r="S88" s="100"/>
      <c r="T88" s="101"/>
      <c r="U88" s="40" t="s">
        <v>98</v>
      </c>
      <c r="V88" s="100"/>
      <c r="W88" s="173">
        <v>531494.94957264955</v>
      </c>
      <c r="X88" s="100"/>
      <c r="Y88" s="100"/>
      <c r="Z88" s="100"/>
      <c r="AB88" s="29">
        <f t="shared" ref="AB88:AB89" si="2">W88*585</f>
        <v>310924545.5</v>
      </c>
      <c r="AC88" s="264">
        <v>1</v>
      </c>
      <c r="AD88" s="240"/>
      <c r="AE88" s="261"/>
    </row>
    <row r="89" spans="1:31" s="84" customFormat="1" ht="70" x14ac:dyDescent="0.15">
      <c r="A89" s="45" t="s">
        <v>321</v>
      </c>
      <c r="B89" s="25" t="s">
        <v>372</v>
      </c>
      <c r="C89" s="100"/>
      <c r="D89" s="82"/>
      <c r="E89" s="83"/>
      <c r="F89" s="83"/>
      <c r="G89" s="83"/>
      <c r="H89" s="82"/>
      <c r="I89" s="181" t="s">
        <v>156</v>
      </c>
      <c r="J89" s="181" t="s">
        <v>156</v>
      </c>
      <c r="K89" s="181" t="s">
        <v>156</v>
      </c>
      <c r="L89" s="82"/>
      <c r="M89" s="181" t="s">
        <v>156</v>
      </c>
      <c r="N89" s="181" t="s">
        <v>156</v>
      </c>
      <c r="O89" s="181" t="s">
        <v>156</v>
      </c>
      <c r="P89" s="82"/>
      <c r="Q89" s="100"/>
      <c r="R89" s="100"/>
      <c r="S89" s="112"/>
      <c r="T89" s="82"/>
      <c r="U89" s="26" t="s">
        <v>236</v>
      </c>
      <c r="V89" s="83"/>
      <c r="W89" s="173">
        <v>47033.837606837609</v>
      </c>
      <c r="X89" s="83"/>
      <c r="Y89" s="83"/>
      <c r="Z89" s="83"/>
      <c r="AB89" s="29">
        <f t="shared" si="2"/>
        <v>27514795</v>
      </c>
      <c r="AC89" s="258">
        <v>1</v>
      </c>
      <c r="AD89" s="216"/>
      <c r="AE89" s="261"/>
    </row>
    <row r="90" spans="1:31" s="84" customFormat="1" ht="28" x14ac:dyDescent="0.15">
      <c r="A90" s="36" t="s">
        <v>261</v>
      </c>
      <c r="B90" s="23"/>
      <c r="C90" s="23"/>
      <c r="D90" s="23"/>
      <c r="E90" s="23"/>
      <c r="F90" s="23"/>
      <c r="G90" s="23"/>
      <c r="H90" s="23"/>
      <c r="I90" s="23"/>
      <c r="J90" s="23"/>
      <c r="K90" s="23"/>
      <c r="L90" s="23"/>
      <c r="M90" s="23"/>
      <c r="N90" s="23"/>
      <c r="O90" s="23"/>
      <c r="P90" s="23"/>
      <c r="Q90" s="23"/>
      <c r="R90" s="23"/>
      <c r="S90" s="23"/>
      <c r="T90" s="23"/>
      <c r="U90" s="23"/>
      <c r="V90" s="23"/>
      <c r="W90" s="23"/>
      <c r="X90" s="76"/>
      <c r="Y90" s="92"/>
      <c r="Z90" s="93"/>
      <c r="AC90" s="264"/>
      <c r="AE90" s="261">
        <v>1</v>
      </c>
    </row>
    <row r="91" spans="1:31" s="84" customFormat="1" ht="28" x14ac:dyDescent="0.15">
      <c r="A91" s="252" t="s">
        <v>297</v>
      </c>
      <c r="B91" s="226" t="s">
        <v>340</v>
      </c>
      <c r="C91" s="127"/>
      <c r="D91" s="113"/>
      <c r="E91" s="103"/>
      <c r="F91" s="48"/>
      <c r="G91" s="181" t="s">
        <v>156</v>
      </c>
      <c r="H91" s="113"/>
      <c r="I91" s="48"/>
      <c r="J91" s="103"/>
      <c r="K91" s="103"/>
      <c r="L91" s="113"/>
      <c r="M91" s="103"/>
      <c r="N91" s="103"/>
      <c r="O91" s="104"/>
      <c r="P91" s="82"/>
      <c r="Q91" s="48"/>
      <c r="R91" s="48"/>
      <c r="S91" s="103"/>
      <c r="T91" s="82"/>
      <c r="U91" s="252" t="s">
        <v>458</v>
      </c>
      <c r="V91" s="114"/>
      <c r="W91" s="172">
        <v>26111.111111111109</v>
      </c>
      <c r="X91" s="114"/>
      <c r="Y91" s="103"/>
      <c r="Z91" s="103"/>
      <c r="AB91" s="29">
        <f>W91*585</f>
        <v>15274999.999999998</v>
      </c>
      <c r="AC91" s="258">
        <v>1</v>
      </c>
      <c r="AE91" s="261"/>
    </row>
    <row r="92" spans="1:31" s="98" customFormat="1" ht="28" x14ac:dyDescent="0.15">
      <c r="A92" s="143" t="s">
        <v>296</v>
      </c>
      <c r="B92" s="45" t="s">
        <v>375</v>
      </c>
      <c r="C92" s="127"/>
      <c r="D92" s="113"/>
      <c r="E92" s="103"/>
      <c r="F92" s="48"/>
      <c r="G92" s="181" t="s">
        <v>156</v>
      </c>
      <c r="H92" s="113"/>
      <c r="I92" s="48"/>
      <c r="J92" s="103"/>
      <c r="K92" s="103"/>
      <c r="L92" s="113"/>
      <c r="M92" s="103"/>
      <c r="N92" s="103"/>
      <c r="O92" s="104"/>
      <c r="P92" s="82"/>
      <c r="Q92" s="48"/>
      <c r="R92" s="48"/>
      <c r="S92" s="103"/>
      <c r="T92" s="82"/>
      <c r="U92" s="145" t="s">
        <v>246</v>
      </c>
      <c r="V92" s="114"/>
      <c r="W92" s="172">
        <v>8765.818491151098</v>
      </c>
      <c r="X92" s="114"/>
      <c r="Y92" s="103"/>
      <c r="Z92" s="103"/>
      <c r="AB92" s="29">
        <f>W92*585</f>
        <v>5128003.8173233923</v>
      </c>
      <c r="AC92" s="264">
        <v>1</v>
      </c>
      <c r="AE92" s="261"/>
    </row>
    <row r="93" spans="1:31" s="84" customFormat="1" ht="28" x14ac:dyDescent="0.15">
      <c r="A93" s="36" t="s">
        <v>262</v>
      </c>
      <c r="B93" s="23"/>
      <c r="C93" s="23"/>
      <c r="D93" s="23"/>
      <c r="E93" s="23"/>
      <c r="F93" s="23"/>
      <c r="G93" s="23"/>
      <c r="H93" s="23"/>
      <c r="I93" s="23"/>
      <c r="J93" s="23"/>
      <c r="K93" s="23"/>
      <c r="L93" s="23"/>
      <c r="M93" s="23"/>
      <c r="N93" s="23"/>
      <c r="O93" s="23"/>
      <c r="P93" s="23"/>
      <c r="Q93" s="23"/>
      <c r="R93" s="23"/>
      <c r="S93" s="23"/>
      <c r="T93" s="23"/>
      <c r="U93" s="23"/>
      <c r="V93" s="23"/>
      <c r="W93" s="23"/>
      <c r="X93" s="76"/>
      <c r="Y93" s="92"/>
      <c r="Z93" s="93"/>
      <c r="AC93" s="258"/>
      <c r="AE93" s="261">
        <v>1</v>
      </c>
    </row>
    <row r="94" spans="1:31" s="98" customFormat="1" ht="42" x14ac:dyDescent="0.15">
      <c r="A94" s="143" t="s">
        <v>277</v>
      </c>
      <c r="B94" s="25" t="s">
        <v>354</v>
      </c>
      <c r="C94" s="127"/>
      <c r="D94" s="113"/>
      <c r="E94" s="103"/>
      <c r="F94" s="48"/>
      <c r="G94" s="181"/>
      <c r="H94" s="113"/>
      <c r="I94" s="181" t="s">
        <v>156</v>
      </c>
      <c r="J94" s="181" t="s">
        <v>156</v>
      </c>
      <c r="K94" s="181" t="s">
        <v>156</v>
      </c>
      <c r="L94" s="113"/>
      <c r="M94" s="181" t="s">
        <v>156</v>
      </c>
      <c r="N94" s="181" t="s">
        <v>156</v>
      </c>
      <c r="O94" s="181"/>
      <c r="P94" s="113"/>
      <c r="Q94" s="48"/>
      <c r="R94" s="48"/>
      <c r="S94" s="48"/>
      <c r="T94" s="113"/>
      <c r="U94" s="145" t="s">
        <v>248</v>
      </c>
      <c r="V94" s="114"/>
      <c r="W94" s="172">
        <v>230098.7</v>
      </c>
      <c r="X94" s="114"/>
      <c r="Y94" s="103"/>
      <c r="Z94" s="103"/>
      <c r="AB94" s="29">
        <f>W94*585</f>
        <v>134607739.5</v>
      </c>
      <c r="AC94" s="264">
        <v>1</v>
      </c>
      <c r="AE94" s="261"/>
    </row>
    <row r="95" spans="1:31" s="84" customFormat="1" ht="28" x14ac:dyDescent="0.15">
      <c r="A95" s="36" t="s">
        <v>353</v>
      </c>
      <c r="B95" s="23"/>
      <c r="C95" s="23"/>
      <c r="D95" s="23"/>
      <c r="E95" s="23"/>
      <c r="F95" s="23"/>
      <c r="G95" s="23"/>
      <c r="H95" s="23"/>
      <c r="I95" s="23"/>
      <c r="J95" s="23"/>
      <c r="K95" s="23"/>
      <c r="L95" s="23"/>
      <c r="M95" s="23"/>
      <c r="N95" s="23"/>
      <c r="O95" s="23"/>
      <c r="P95" s="23"/>
      <c r="Q95" s="23"/>
      <c r="R95" s="23"/>
      <c r="S95" s="23"/>
      <c r="T95" s="23"/>
      <c r="U95" s="23"/>
      <c r="V95" s="23"/>
      <c r="W95" s="23"/>
      <c r="X95" s="76"/>
      <c r="Y95" s="92"/>
      <c r="Z95" s="93"/>
      <c r="AC95" s="258"/>
      <c r="AE95" s="261">
        <v>1</v>
      </c>
    </row>
    <row r="96" spans="1:31" s="191" customFormat="1" ht="28" x14ac:dyDescent="0.15">
      <c r="A96" s="252" t="s">
        <v>276</v>
      </c>
      <c r="B96" s="226" t="s">
        <v>340</v>
      </c>
      <c r="C96" s="195"/>
      <c r="D96" s="193"/>
      <c r="E96" s="48"/>
      <c r="F96" s="48"/>
      <c r="G96" s="181" t="s">
        <v>156</v>
      </c>
      <c r="H96" s="193"/>
      <c r="I96" s="48"/>
      <c r="J96" s="48"/>
      <c r="K96" s="48"/>
      <c r="L96" s="193"/>
      <c r="M96" s="194"/>
      <c r="N96" s="194"/>
      <c r="O96" s="196"/>
      <c r="P96" s="193"/>
      <c r="Q96" s="53"/>
      <c r="R96" s="53"/>
      <c r="S96" s="194"/>
      <c r="T96" s="193"/>
      <c r="U96" s="252" t="s">
        <v>189</v>
      </c>
      <c r="V96" s="195"/>
      <c r="W96" s="172">
        <v>443962.39316239319</v>
      </c>
      <c r="X96" s="195"/>
      <c r="Y96" s="194"/>
      <c r="Z96" s="194"/>
      <c r="AB96" s="29">
        <v>259718000</v>
      </c>
      <c r="AC96" s="264">
        <v>1</v>
      </c>
      <c r="AE96" s="261"/>
    </row>
    <row r="97" spans="1:32" s="98" customFormat="1" ht="93" customHeight="1" x14ac:dyDescent="0.15">
      <c r="A97" s="143" t="s">
        <v>384</v>
      </c>
      <c r="B97" s="25" t="s">
        <v>354</v>
      </c>
      <c r="C97" s="127"/>
      <c r="D97" s="113"/>
      <c r="E97" s="103"/>
      <c r="F97" s="181" t="s">
        <v>156</v>
      </c>
      <c r="G97" s="181" t="s">
        <v>156</v>
      </c>
      <c r="H97" s="113"/>
      <c r="I97" s="181" t="s">
        <v>156</v>
      </c>
      <c r="J97" s="181" t="s">
        <v>156</v>
      </c>
      <c r="K97" s="181" t="s">
        <v>156</v>
      </c>
      <c r="L97" s="113"/>
      <c r="M97" s="181" t="s">
        <v>156</v>
      </c>
      <c r="N97" s="181" t="s">
        <v>156</v>
      </c>
      <c r="O97" s="104"/>
      <c r="P97" s="113"/>
      <c r="Q97" s="48"/>
      <c r="R97" s="48"/>
      <c r="S97" s="48"/>
      <c r="T97" s="113"/>
      <c r="U97" s="145"/>
      <c r="V97" s="25" t="s">
        <v>385</v>
      </c>
      <c r="W97" s="172">
        <v>200000</v>
      </c>
      <c r="X97" s="114"/>
      <c r="Y97" s="103"/>
      <c r="Z97" s="103"/>
      <c r="AB97" s="29">
        <f>W97*585</f>
        <v>117000000</v>
      </c>
      <c r="AC97" s="258">
        <v>1</v>
      </c>
      <c r="AE97" s="261"/>
    </row>
    <row r="98" spans="1:32" s="98" customFormat="1" ht="99" customHeight="1" x14ac:dyDescent="0.15">
      <c r="A98" s="143" t="s">
        <v>399</v>
      </c>
      <c r="B98" s="25" t="s">
        <v>354</v>
      </c>
      <c r="C98" s="127"/>
      <c r="D98" s="113"/>
      <c r="E98" s="103"/>
      <c r="F98" s="181" t="s">
        <v>156</v>
      </c>
      <c r="G98" s="181" t="s">
        <v>156</v>
      </c>
      <c r="H98" s="113"/>
      <c r="I98" s="181" t="s">
        <v>156</v>
      </c>
      <c r="J98" s="181" t="s">
        <v>156</v>
      </c>
      <c r="K98" s="181"/>
      <c r="L98" s="113"/>
      <c r="M98" s="181" t="s">
        <v>156</v>
      </c>
      <c r="N98" s="181" t="s">
        <v>156</v>
      </c>
      <c r="O98" s="181"/>
      <c r="P98" s="113"/>
      <c r="Q98" s="48"/>
      <c r="R98" s="48"/>
      <c r="S98" s="48"/>
      <c r="T98" s="113"/>
      <c r="U98" s="145"/>
      <c r="V98" s="25" t="s">
        <v>386</v>
      </c>
      <c r="W98" s="172">
        <v>100000</v>
      </c>
      <c r="X98" s="114"/>
      <c r="Y98" s="103"/>
      <c r="Z98" s="103"/>
      <c r="AB98" s="29">
        <f>W98*585</f>
        <v>58500000</v>
      </c>
      <c r="AC98" s="264">
        <v>1</v>
      </c>
      <c r="AD98" s="29"/>
      <c r="AE98" s="261"/>
    </row>
    <row r="99" spans="1:32" s="190" customFormat="1" ht="28" x14ac:dyDescent="0.15">
      <c r="A99" s="36" t="s">
        <v>263</v>
      </c>
      <c r="B99" s="187"/>
      <c r="C99" s="187"/>
      <c r="D99" s="187"/>
      <c r="E99" s="187"/>
      <c r="F99" s="187"/>
      <c r="G99" s="187"/>
      <c r="H99" s="187"/>
      <c r="I99" s="187"/>
      <c r="J99" s="187"/>
      <c r="K99" s="187"/>
      <c r="L99" s="187"/>
      <c r="M99" s="187"/>
      <c r="N99" s="187"/>
      <c r="O99" s="187"/>
      <c r="P99" s="187"/>
      <c r="Q99" s="187"/>
      <c r="R99" s="187"/>
      <c r="S99" s="187"/>
      <c r="T99" s="187"/>
      <c r="U99" s="187"/>
      <c r="V99" s="187"/>
      <c r="W99" s="23"/>
      <c r="X99" s="188"/>
      <c r="Y99" s="189"/>
      <c r="Z99" s="93"/>
      <c r="AC99" s="258"/>
      <c r="AD99" s="29"/>
      <c r="AE99" s="261">
        <v>1</v>
      </c>
    </row>
    <row r="100" spans="1:32" s="191" customFormat="1" ht="42" x14ac:dyDescent="0.15">
      <c r="A100" s="145" t="s">
        <v>162</v>
      </c>
      <c r="B100" s="25" t="s">
        <v>374</v>
      </c>
      <c r="C100" s="192"/>
      <c r="D100" s="193"/>
      <c r="E100" s="194"/>
      <c r="F100" s="194"/>
      <c r="G100" s="194"/>
      <c r="H100" s="193"/>
      <c r="I100" s="194"/>
      <c r="J100" s="194"/>
      <c r="K100" s="194"/>
      <c r="L100" s="193"/>
      <c r="M100" s="53"/>
      <c r="N100" s="181" t="s">
        <v>156</v>
      </c>
      <c r="O100" s="196"/>
      <c r="P100" s="193"/>
      <c r="Q100" s="194"/>
      <c r="R100" s="194"/>
      <c r="S100" s="53"/>
      <c r="T100" s="193"/>
      <c r="U100" s="145" t="s">
        <v>190</v>
      </c>
      <c r="V100" s="195"/>
      <c r="W100" s="172">
        <v>9204.1094157086554</v>
      </c>
      <c r="X100" s="195"/>
      <c r="Y100" s="194"/>
      <c r="Z100" s="194"/>
      <c r="AB100" s="29">
        <f>W100*585</f>
        <v>5384404.0081895636</v>
      </c>
      <c r="AC100" s="264">
        <v>1</v>
      </c>
      <c r="AD100" s="256">
        <f>SUM(AC83:AC100)</f>
        <v>13</v>
      </c>
      <c r="AE100" s="257">
        <f xml:space="preserve"> SUM(AE82:AE99)</f>
        <v>6</v>
      </c>
    </row>
    <row r="101" spans="1:32" s="98" customFormat="1" ht="14" x14ac:dyDescent="0.15">
      <c r="A101" s="59" t="s">
        <v>45</v>
      </c>
      <c r="B101" s="59"/>
      <c r="C101" s="59"/>
      <c r="D101" s="193"/>
      <c r="E101" s="59"/>
      <c r="F101" s="59"/>
      <c r="G101" s="59"/>
      <c r="H101" s="193"/>
      <c r="I101" s="59"/>
      <c r="J101" s="59"/>
      <c r="K101" s="59"/>
      <c r="L101" s="193"/>
      <c r="M101" s="59"/>
      <c r="N101" s="59"/>
      <c r="O101" s="59"/>
      <c r="P101" s="193"/>
      <c r="Q101" s="59"/>
      <c r="R101" s="59"/>
      <c r="S101" s="59"/>
      <c r="T101" s="193"/>
      <c r="U101" s="59"/>
      <c r="V101" s="59"/>
      <c r="W101" s="59"/>
      <c r="X101" s="59"/>
      <c r="Y101" s="59"/>
      <c r="Z101" s="59"/>
      <c r="AC101" s="258"/>
    </row>
    <row r="102" spans="1:32" s="78" customFormat="1" ht="31" customHeight="1" x14ac:dyDescent="0.15">
      <c r="A102" s="36" t="s">
        <v>46</v>
      </c>
      <c r="B102" s="23"/>
      <c r="C102" s="23"/>
      <c r="D102" s="23"/>
      <c r="E102" s="23"/>
      <c r="F102" s="23"/>
      <c r="G102" s="23"/>
      <c r="H102" s="23"/>
      <c r="I102" s="23"/>
      <c r="J102" s="23"/>
      <c r="K102" s="23"/>
      <c r="L102" s="23"/>
      <c r="M102" s="23"/>
      <c r="N102" s="23"/>
      <c r="O102" s="23"/>
      <c r="P102" s="23"/>
      <c r="Q102" s="23"/>
      <c r="R102" s="23"/>
      <c r="S102" s="23"/>
      <c r="T102" s="23"/>
      <c r="U102" s="23"/>
      <c r="V102" s="23"/>
      <c r="W102" s="23"/>
      <c r="X102" s="76"/>
      <c r="Y102" s="92"/>
      <c r="Z102" s="24" t="s">
        <v>163</v>
      </c>
      <c r="AC102" s="264"/>
      <c r="AE102" s="261">
        <v>1</v>
      </c>
    </row>
    <row r="103" spans="1:32" s="84" customFormat="1" ht="56" x14ac:dyDescent="0.15">
      <c r="A103" s="25" t="s">
        <v>63</v>
      </c>
      <c r="B103" s="25" t="s">
        <v>47</v>
      </c>
      <c r="C103" s="83"/>
      <c r="D103" s="85"/>
      <c r="E103" s="86"/>
      <c r="F103" s="86"/>
      <c r="G103" s="144"/>
      <c r="H103" s="85"/>
      <c r="I103" s="86"/>
      <c r="J103" s="86"/>
      <c r="K103" s="86"/>
      <c r="L103" s="85"/>
      <c r="M103" s="86"/>
      <c r="N103" s="86"/>
      <c r="O103" s="86"/>
      <c r="P103" s="85"/>
      <c r="Q103" s="181" t="s">
        <v>156</v>
      </c>
      <c r="R103" s="86"/>
      <c r="S103" s="144"/>
      <c r="T103" s="85"/>
      <c r="U103" s="25" t="s">
        <v>342</v>
      </c>
      <c r="V103" s="86"/>
      <c r="W103" s="83"/>
      <c r="X103" s="172"/>
      <c r="Y103" s="172">
        <f>(3811.22543093526*1.15)*2</f>
        <v>8765.818491151098</v>
      </c>
      <c r="Z103" s="86"/>
      <c r="AB103" s="29">
        <f t="shared" ref="AB103:AB104" si="3">Y103*585</f>
        <v>5128003.8173233923</v>
      </c>
      <c r="AC103" s="258">
        <v>1</v>
      </c>
      <c r="AE103" s="261"/>
    </row>
    <row r="104" spans="1:32" s="87" customFormat="1" ht="58" customHeight="1" x14ac:dyDescent="0.15">
      <c r="A104" s="25" t="s">
        <v>48</v>
      </c>
      <c r="B104" s="56" t="s">
        <v>322</v>
      </c>
      <c r="C104" s="86"/>
      <c r="D104" s="85"/>
      <c r="E104" s="86"/>
      <c r="F104" s="86"/>
      <c r="G104" s="144"/>
      <c r="H104" s="85"/>
      <c r="I104" s="86"/>
      <c r="J104" s="86"/>
      <c r="K104" s="86"/>
      <c r="L104" s="85"/>
      <c r="M104" s="86"/>
      <c r="N104" s="86"/>
      <c r="O104" s="86"/>
      <c r="P104" s="85"/>
      <c r="Q104" s="181" t="s">
        <v>156</v>
      </c>
      <c r="R104" s="86"/>
      <c r="S104" s="86"/>
      <c r="T104" s="85"/>
      <c r="U104" s="25" t="s">
        <v>164</v>
      </c>
      <c r="V104" s="86"/>
      <c r="W104" s="86"/>
      <c r="X104" s="172"/>
      <c r="Y104" s="172">
        <v>24017.1840532231</v>
      </c>
      <c r="Z104" s="86"/>
      <c r="AB104" s="29">
        <f t="shared" si="3"/>
        <v>14050052.671135513</v>
      </c>
      <c r="AC104" s="264">
        <v>1</v>
      </c>
      <c r="AE104" s="218"/>
    </row>
    <row r="105" spans="1:32" s="84" customFormat="1" ht="28" x14ac:dyDescent="0.15">
      <c r="A105" s="31" t="s">
        <v>49</v>
      </c>
      <c r="B105" s="23"/>
      <c r="C105" s="23"/>
      <c r="D105" s="23"/>
      <c r="E105" s="23"/>
      <c r="F105" s="23"/>
      <c r="G105" s="23"/>
      <c r="H105" s="23"/>
      <c r="I105" s="23"/>
      <c r="J105" s="23"/>
      <c r="K105" s="23"/>
      <c r="L105" s="23"/>
      <c r="M105" s="23"/>
      <c r="N105" s="23"/>
      <c r="O105" s="23"/>
      <c r="P105" s="23"/>
      <c r="Q105" s="23"/>
      <c r="R105" s="23"/>
      <c r="S105" s="23"/>
      <c r="T105" s="23"/>
      <c r="U105" s="23"/>
      <c r="V105" s="23"/>
      <c r="W105" s="23"/>
      <c r="X105" s="76"/>
      <c r="Y105" s="92"/>
      <c r="Z105" s="24" t="s">
        <v>163</v>
      </c>
      <c r="AC105" s="258"/>
      <c r="AE105" s="261">
        <v>1</v>
      </c>
    </row>
    <row r="106" spans="1:32" s="84" customFormat="1" ht="42" x14ac:dyDescent="0.15">
      <c r="A106" s="251" t="s">
        <v>244</v>
      </c>
      <c r="B106" s="226" t="s">
        <v>340</v>
      </c>
      <c r="C106" s="91"/>
      <c r="D106" s="82"/>
      <c r="E106" s="155"/>
      <c r="F106" s="86"/>
      <c r="G106" s="181" t="s">
        <v>156</v>
      </c>
      <c r="H106" s="85"/>
      <c r="I106" s="86"/>
      <c r="J106" s="144"/>
      <c r="K106" s="86"/>
      <c r="L106" s="85"/>
      <c r="M106" s="86"/>
      <c r="N106" s="86"/>
      <c r="O106" s="86"/>
      <c r="P106" s="85"/>
      <c r="Q106" s="86"/>
      <c r="R106" s="86"/>
      <c r="S106" s="86"/>
      <c r="T106" s="82"/>
      <c r="U106" s="251" t="s">
        <v>100</v>
      </c>
      <c r="V106" s="25"/>
      <c r="W106" s="83"/>
      <c r="X106" s="172"/>
      <c r="Y106" s="172">
        <v>72815.076923076922</v>
      </c>
      <c r="Z106" s="83"/>
      <c r="AB106" s="29">
        <f>Y106*585</f>
        <v>42596820</v>
      </c>
      <c r="AC106" s="264">
        <v>1</v>
      </c>
      <c r="AE106" s="261"/>
    </row>
    <row r="107" spans="1:32" s="84" customFormat="1" ht="42" x14ac:dyDescent="0.15">
      <c r="A107" s="25" t="s">
        <v>457</v>
      </c>
      <c r="B107" s="25" t="s">
        <v>78</v>
      </c>
      <c r="C107" s="91"/>
      <c r="D107" s="82"/>
      <c r="E107" s="155"/>
      <c r="F107" s="86"/>
      <c r="G107" s="181" t="s">
        <v>156</v>
      </c>
      <c r="H107" s="85"/>
      <c r="I107" s="86"/>
      <c r="J107" s="144"/>
      <c r="K107" s="86"/>
      <c r="L107" s="85"/>
      <c r="M107" s="86"/>
      <c r="N107" s="86"/>
      <c r="O107" s="86"/>
      <c r="P107" s="85"/>
      <c r="Q107" s="86"/>
      <c r="R107" s="86"/>
      <c r="S107" s="86"/>
      <c r="T107" s="82"/>
      <c r="U107" s="25" t="s">
        <v>100</v>
      </c>
      <c r="V107" s="25"/>
      <c r="W107" s="83"/>
      <c r="X107" s="172"/>
      <c r="Y107" s="172">
        <f>76300</f>
        <v>76300</v>
      </c>
      <c r="Z107" s="83"/>
      <c r="AB107" s="29">
        <f>Y107*585</f>
        <v>44635500</v>
      </c>
      <c r="AC107" s="258">
        <v>1</v>
      </c>
      <c r="AE107" s="261"/>
    </row>
    <row r="108" spans="1:32" s="84" customFormat="1" ht="42" x14ac:dyDescent="0.15">
      <c r="A108" s="36" t="s">
        <v>74</v>
      </c>
      <c r="B108" s="23"/>
      <c r="C108" s="23"/>
      <c r="D108" s="23"/>
      <c r="E108" s="23"/>
      <c r="F108" s="23"/>
      <c r="G108" s="23"/>
      <c r="H108" s="23"/>
      <c r="I108" s="23"/>
      <c r="J108" s="23"/>
      <c r="K108" s="23"/>
      <c r="L108" s="23"/>
      <c r="M108" s="23"/>
      <c r="N108" s="23"/>
      <c r="O108" s="23"/>
      <c r="P108" s="23"/>
      <c r="Q108" s="23"/>
      <c r="R108" s="23"/>
      <c r="S108" s="23"/>
      <c r="T108" s="23"/>
      <c r="U108" s="23"/>
      <c r="V108" s="23"/>
      <c r="W108" s="23"/>
      <c r="X108" s="76"/>
      <c r="Y108" s="92"/>
      <c r="Z108" s="24" t="s">
        <v>131</v>
      </c>
      <c r="AC108" s="264"/>
      <c r="AE108" s="261">
        <v>1</v>
      </c>
    </row>
    <row r="109" spans="1:32" s="84" customFormat="1" ht="42" x14ac:dyDescent="0.15">
      <c r="A109" s="25" t="s">
        <v>165</v>
      </c>
      <c r="B109" s="25" t="s">
        <v>126</v>
      </c>
      <c r="C109" s="83"/>
      <c r="D109" s="82"/>
      <c r="E109" s="83"/>
      <c r="F109" s="181" t="s">
        <v>156</v>
      </c>
      <c r="G109" s="181" t="s">
        <v>156</v>
      </c>
      <c r="H109" s="85"/>
      <c r="I109" s="181" t="s">
        <v>156</v>
      </c>
      <c r="J109" s="181" t="s">
        <v>156</v>
      </c>
      <c r="K109" s="181" t="s">
        <v>156</v>
      </c>
      <c r="L109" s="85"/>
      <c r="M109" s="181" t="s">
        <v>156</v>
      </c>
      <c r="N109" s="144"/>
      <c r="O109" s="144"/>
      <c r="P109" s="85"/>
      <c r="Q109" s="181" t="s">
        <v>156</v>
      </c>
      <c r="R109" s="181" t="s">
        <v>156</v>
      </c>
      <c r="S109" s="86"/>
      <c r="T109" s="82"/>
      <c r="U109" s="25" t="s">
        <v>101</v>
      </c>
      <c r="V109" s="83"/>
      <c r="W109" s="83"/>
      <c r="X109" s="172"/>
      <c r="Y109" s="172">
        <v>2393.1623931623931</v>
      </c>
      <c r="Z109" s="83"/>
      <c r="AB109" s="213">
        <f>Y109*585</f>
        <v>1400000</v>
      </c>
      <c r="AC109" s="258">
        <v>1</v>
      </c>
      <c r="AE109" s="261"/>
    </row>
    <row r="110" spans="1:32" s="84" customFormat="1" ht="28" x14ac:dyDescent="0.15">
      <c r="A110" s="25" t="s">
        <v>54</v>
      </c>
      <c r="B110" s="25" t="s">
        <v>126</v>
      </c>
      <c r="C110" s="83"/>
      <c r="D110" s="82"/>
      <c r="E110" s="83"/>
      <c r="F110" s="181" t="s">
        <v>156</v>
      </c>
      <c r="G110" s="181" t="s">
        <v>156</v>
      </c>
      <c r="H110" s="85"/>
      <c r="I110" s="181" t="s">
        <v>156</v>
      </c>
      <c r="J110" s="181" t="s">
        <v>156</v>
      </c>
      <c r="K110" s="181" t="s">
        <v>156</v>
      </c>
      <c r="L110" s="85"/>
      <c r="M110" s="181" t="s">
        <v>156</v>
      </c>
      <c r="N110" s="144"/>
      <c r="O110" s="144"/>
      <c r="P110" s="85"/>
      <c r="Q110" s="181" t="s">
        <v>156</v>
      </c>
      <c r="R110" s="181" t="s">
        <v>156</v>
      </c>
      <c r="S110" s="83"/>
      <c r="T110" s="82"/>
      <c r="U110" s="25" t="s">
        <v>103</v>
      </c>
      <c r="V110" s="83"/>
      <c r="W110" s="83"/>
      <c r="X110" s="172"/>
      <c r="Y110" s="172">
        <f>571.683814640289*1.15</f>
        <v>657.4363868363323</v>
      </c>
      <c r="Z110" s="83"/>
      <c r="AB110" s="213">
        <f>Y110*585</f>
        <v>384600.2862992544</v>
      </c>
      <c r="AC110" s="264">
        <v>1</v>
      </c>
      <c r="AE110" s="261"/>
    </row>
    <row r="111" spans="1:32" s="84" customFormat="1" ht="42" x14ac:dyDescent="0.15">
      <c r="A111" s="25" t="s">
        <v>124</v>
      </c>
      <c r="B111" s="25" t="s">
        <v>142</v>
      </c>
      <c r="C111" s="83"/>
      <c r="D111" s="85"/>
      <c r="E111" s="86"/>
      <c r="F111" s="181" t="s">
        <v>156</v>
      </c>
      <c r="G111" s="181" t="s">
        <v>156</v>
      </c>
      <c r="H111" s="85"/>
      <c r="I111" s="181" t="s">
        <v>156</v>
      </c>
      <c r="J111" s="181" t="s">
        <v>156</v>
      </c>
      <c r="K111" s="181" t="s">
        <v>156</v>
      </c>
      <c r="L111" s="85"/>
      <c r="M111" s="181" t="s">
        <v>156</v>
      </c>
      <c r="N111" s="144"/>
      <c r="O111" s="144"/>
      <c r="P111" s="85"/>
      <c r="Q111" s="181" t="s">
        <v>156</v>
      </c>
      <c r="R111" s="181" t="s">
        <v>156</v>
      </c>
      <c r="S111" s="86"/>
      <c r="T111" s="85"/>
      <c r="U111" s="25" t="s">
        <v>102</v>
      </c>
      <c r="V111" s="89"/>
      <c r="W111" s="83"/>
      <c r="X111" s="172"/>
      <c r="Y111" s="172">
        <v>17020.598290598289</v>
      </c>
      <c r="Z111" s="86"/>
      <c r="AB111" s="220">
        <f>Y111*585</f>
        <v>9957050</v>
      </c>
      <c r="AC111" s="258">
        <v>1</v>
      </c>
      <c r="AE111" s="261"/>
    </row>
    <row r="112" spans="1:32" s="84" customFormat="1" ht="109" customHeight="1" x14ac:dyDescent="0.15">
      <c r="A112" s="25" t="s">
        <v>119</v>
      </c>
      <c r="B112" s="25" t="s">
        <v>127</v>
      </c>
      <c r="C112" s="83"/>
      <c r="D112" s="82"/>
      <c r="E112" s="86"/>
      <c r="F112" s="181" t="s">
        <v>156</v>
      </c>
      <c r="G112" s="181" t="s">
        <v>156</v>
      </c>
      <c r="H112" s="85"/>
      <c r="I112" s="181" t="s">
        <v>156</v>
      </c>
      <c r="J112" s="181" t="s">
        <v>156</v>
      </c>
      <c r="K112" s="181" t="s">
        <v>156</v>
      </c>
      <c r="L112" s="85"/>
      <c r="M112" s="181" t="s">
        <v>156</v>
      </c>
      <c r="N112" s="181" t="s">
        <v>156</v>
      </c>
      <c r="O112" s="181" t="s">
        <v>156</v>
      </c>
      <c r="P112" s="85"/>
      <c r="Q112" s="181" t="s">
        <v>156</v>
      </c>
      <c r="R112" s="181" t="s">
        <v>156</v>
      </c>
      <c r="S112" s="86"/>
      <c r="T112" s="82"/>
      <c r="U112" s="25" t="s">
        <v>104</v>
      </c>
      <c r="V112" s="90"/>
      <c r="W112" s="83"/>
      <c r="X112" s="91"/>
      <c r="Y112" s="172">
        <f>8140.77752047771*1.15+5000</f>
        <v>14361.894148549365</v>
      </c>
      <c r="Z112" s="83"/>
      <c r="AB112" s="220">
        <f>Y112*585</f>
        <v>8401708.0769013781</v>
      </c>
      <c r="AC112" s="264">
        <v>1</v>
      </c>
      <c r="AD112" s="213"/>
      <c r="AE112" s="263"/>
      <c r="AF112" s="221"/>
    </row>
    <row r="113" spans="1:31" s="84" customFormat="1" ht="42" x14ac:dyDescent="0.15">
      <c r="A113" s="25" t="s">
        <v>120</v>
      </c>
      <c r="B113" s="25" t="s">
        <v>166</v>
      </c>
      <c r="C113" s="83"/>
      <c r="D113" s="82"/>
      <c r="E113" s="83"/>
      <c r="F113" s="181" t="s">
        <v>156</v>
      </c>
      <c r="G113" s="86"/>
      <c r="H113" s="85"/>
      <c r="I113" s="86"/>
      <c r="J113" s="181" t="s">
        <v>156</v>
      </c>
      <c r="K113" s="86"/>
      <c r="L113" s="85"/>
      <c r="M113" s="86"/>
      <c r="N113" s="181" t="s">
        <v>156</v>
      </c>
      <c r="O113" s="86"/>
      <c r="P113" s="85"/>
      <c r="Q113" s="86"/>
      <c r="R113" s="181" t="s">
        <v>156</v>
      </c>
      <c r="S113" s="86"/>
      <c r="T113" s="85"/>
      <c r="U113" s="26" t="s">
        <v>105</v>
      </c>
      <c r="V113" s="90"/>
      <c r="W113" s="83"/>
      <c r="X113" s="91"/>
      <c r="Y113" s="172">
        <v>5714.1025641025644</v>
      </c>
      <c r="Z113" s="83"/>
      <c r="AB113" s="213">
        <f>Y113*585</f>
        <v>3342750</v>
      </c>
      <c r="AC113" s="258">
        <v>1</v>
      </c>
      <c r="AE113" s="261"/>
    </row>
    <row r="114" spans="1:31" s="84" customFormat="1" ht="28" x14ac:dyDescent="0.15">
      <c r="A114" s="36" t="s">
        <v>68</v>
      </c>
      <c r="B114" s="23"/>
      <c r="C114" s="23"/>
      <c r="D114" s="23"/>
      <c r="E114" s="23"/>
      <c r="F114" s="23"/>
      <c r="G114" s="23"/>
      <c r="H114" s="23"/>
      <c r="I114" s="23"/>
      <c r="J114" s="23"/>
      <c r="K114" s="23"/>
      <c r="L114" s="23"/>
      <c r="M114" s="23"/>
      <c r="N114" s="23"/>
      <c r="O114" s="23"/>
      <c r="P114" s="23"/>
      <c r="Q114" s="23"/>
      <c r="R114" s="23"/>
      <c r="S114" s="23"/>
      <c r="T114" s="23"/>
      <c r="U114" s="23"/>
      <c r="V114" s="23"/>
      <c r="W114" s="23"/>
      <c r="X114" s="76"/>
      <c r="Y114" s="92"/>
      <c r="Z114" s="24" t="s">
        <v>137</v>
      </c>
      <c r="AC114" s="264"/>
      <c r="AE114" s="261">
        <v>1</v>
      </c>
    </row>
    <row r="115" spans="1:31" s="84" customFormat="1" ht="42" x14ac:dyDescent="0.15">
      <c r="A115" s="25" t="s">
        <v>50</v>
      </c>
      <c r="B115" s="25" t="s">
        <v>421</v>
      </c>
      <c r="C115" s="83"/>
      <c r="D115" s="82"/>
      <c r="E115" s="181" t="s">
        <v>156</v>
      </c>
      <c r="F115" s="181" t="s">
        <v>156</v>
      </c>
      <c r="G115" s="181" t="s">
        <v>156</v>
      </c>
      <c r="H115" s="82"/>
      <c r="I115" s="181" t="s">
        <v>156</v>
      </c>
      <c r="J115" s="181" t="s">
        <v>156</v>
      </c>
      <c r="K115" s="181" t="s">
        <v>156</v>
      </c>
      <c r="L115" s="82"/>
      <c r="M115" s="181" t="s">
        <v>156</v>
      </c>
      <c r="N115" s="86"/>
      <c r="O115" s="86"/>
      <c r="P115" s="82"/>
      <c r="Q115" s="181" t="s">
        <v>156</v>
      </c>
      <c r="R115" s="181" t="s">
        <v>156</v>
      </c>
      <c r="S115" s="181" t="s">
        <v>156</v>
      </c>
      <c r="T115" s="82"/>
      <c r="U115" s="25" t="s">
        <v>168</v>
      </c>
      <c r="V115" s="90"/>
      <c r="W115" s="83"/>
      <c r="X115" s="91"/>
      <c r="Y115" s="172">
        <f>8262.73673426764*1.15</f>
        <v>9502.1472444077863</v>
      </c>
      <c r="Z115" s="83"/>
      <c r="AB115" s="213">
        <f>Y115*585</f>
        <v>5558756.1379785547</v>
      </c>
      <c r="AC115" s="258">
        <v>1</v>
      </c>
    </row>
    <row r="116" spans="1:31" s="84" customFormat="1" ht="42" x14ac:dyDescent="0.15">
      <c r="A116" s="25" t="s">
        <v>51</v>
      </c>
      <c r="B116" s="25" t="s">
        <v>422</v>
      </c>
      <c r="C116" s="83"/>
      <c r="D116" s="82"/>
      <c r="E116" s="181" t="s">
        <v>156</v>
      </c>
      <c r="F116" s="181" t="s">
        <v>156</v>
      </c>
      <c r="G116" s="181" t="s">
        <v>156</v>
      </c>
      <c r="H116" s="85"/>
      <c r="I116" s="181" t="s">
        <v>156</v>
      </c>
      <c r="J116" s="181" t="s">
        <v>156</v>
      </c>
      <c r="K116" s="181" t="s">
        <v>156</v>
      </c>
      <c r="L116" s="82"/>
      <c r="M116" s="181" t="s">
        <v>156</v>
      </c>
      <c r="N116" s="86"/>
      <c r="O116" s="86"/>
      <c r="P116" s="85"/>
      <c r="Q116" s="181" t="s">
        <v>156</v>
      </c>
      <c r="R116" s="181" t="s">
        <v>156</v>
      </c>
      <c r="S116" s="181" t="s">
        <v>156</v>
      </c>
      <c r="T116" s="82"/>
      <c r="U116" s="25" t="s">
        <v>106</v>
      </c>
      <c r="V116" s="90"/>
      <c r="W116" s="83"/>
      <c r="X116" s="91"/>
      <c r="Y116" s="172">
        <f>13644.1870427482*1.15</f>
        <v>15690.815099160429</v>
      </c>
      <c r="Z116" s="83"/>
      <c r="AB116" s="213">
        <f t="shared" ref="AB116:AB121" si="4">Y116*585</f>
        <v>9179126.83300885</v>
      </c>
      <c r="AC116" s="264">
        <v>1</v>
      </c>
    </row>
    <row r="117" spans="1:31" s="84" customFormat="1" ht="42" x14ac:dyDescent="0.15">
      <c r="A117" s="25" t="s">
        <v>52</v>
      </c>
      <c r="B117" s="25" t="s">
        <v>167</v>
      </c>
      <c r="C117" s="83"/>
      <c r="D117" s="82"/>
      <c r="E117" s="181" t="s">
        <v>156</v>
      </c>
      <c r="F117" s="181" t="s">
        <v>156</v>
      </c>
      <c r="G117" s="181" t="s">
        <v>156</v>
      </c>
      <c r="H117" s="94"/>
      <c r="I117" s="181" t="s">
        <v>156</v>
      </c>
      <c r="J117" s="181" t="s">
        <v>156</v>
      </c>
      <c r="K117" s="181" t="s">
        <v>156</v>
      </c>
      <c r="L117" s="82"/>
      <c r="M117" s="181" t="s">
        <v>156</v>
      </c>
      <c r="N117" s="86"/>
      <c r="O117" s="86"/>
      <c r="P117" s="85"/>
      <c r="Q117" s="181" t="s">
        <v>156</v>
      </c>
      <c r="R117" s="181" t="s">
        <v>156</v>
      </c>
      <c r="S117" s="181" t="s">
        <v>156</v>
      </c>
      <c r="T117" s="82"/>
      <c r="U117" s="25" t="s">
        <v>107</v>
      </c>
      <c r="V117" s="90"/>
      <c r="W117" s="83"/>
      <c r="X117" s="91"/>
      <c r="Y117" s="172">
        <f>9101.2063290734*1.15</f>
        <v>10466.387278434409</v>
      </c>
      <c r="Z117" s="83"/>
      <c r="AB117" s="213">
        <f t="shared" si="4"/>
        <v>6122836.5578841297</v>
      </c>
      <c r="AC117" s="258">
        <v>1</v>
      </c>
    </row>
    <row r="118" spans="1:31" s="84" customFormat="1" ht="42" x14ac:dyDescent="0.15">
      <c r="A118" s="25" t="s">
        <v>123</v>
      </c>
      <c r="B118" s="25" t="s">
        <v>167</v>
      </c>
      <c r="C118" s="83"/>
      <c r="D118" s="82"/>
      <c r="E118" s="181" t="s">
        <v>156</v>
      </c>
      <c r="F118" s="181" t="s">
        <v>156</v>
      </c>
      <c r="G118" s="181" t="s">
        <v>156</v>
      </c>
      <c r="H118" s="94"/>
      <c r="I118" s="181" t="s">
        <v>156</v>
      </c>
      <c r="J118" s="181" t="s">
        <v>156</v>
      </c>
      <c r="K118" s="181" t="s">
        <v>156</v>
      </c>
      <c r="L118" s="82"/>
      <c r="M118" s="181" t="s">
        <v>156</v>
      </c>
      <c r="N118" s="86"/>
      <c r="O118" s="86"/>
      <c r="P118" s="85"/>
      <c r="Q118" s="181" t="s">
        <v>156</v>
      </c>
      <c r="R118" s="181" t="s">
        <v>156</v>
      </c>
      <c r="S118" s="181" t="s">
        <v>156</v>
      </c>
      <c r="T118" s="82"/>
      <c r="U118" s="25" t="s">
        <v>108</v>
      </c>
      <c r="V118" s="83"/>
      <c r="W118" s="83"/>
      <c r="X118" s="83"/>
      <c r="Y118" s="172">
        <f>16754.1469943914*1.15</f>
        <v>19267.26904355011</v>
      </c>
      <c r="Z118" s="83"/>
      <c r="AB118" s="213">
        <f t="shared" si="4"/>
        <v>11271352.390476814</v>
      </c>
      <c r="AC118" s="264">
        <v>1</v>
      </c>
    </row>
    <row r="119" spans="1:31" s="84" customFormat="1" ht="42" x14ac:dyDescent="0.15">
      <c r="A119" s="25" t="s">
        <v>278</v>
      </c>
      <c r="B119" s="26" t="s">
        <v>167</v>
      </c>
      <c r="C119" s="83"/>
      <c r="D119" s="82"/>
      <c r="E119" s="181" t="s">
        <v>156</v>
      </c>
      <c r="F119" s="181" t="s">
        <v>156</v>
      </c>
      <c r="G119" s="181" t="s">
        <v>156</v>
      </c>
      <c r="H119" s="94"/>
      <c r="I119" s="181" t="s">
        <v>156</v>
      </c>
      <c r="J119" s="181" t="s">
        <v>156</v>
      </c>
      <c r="K119" s="181" t="s">
        <v>156</v>
      </c>
      <c r="L119" s="82"/>
      <c r="M119" s="181" t="s">
        <v>156</v>
      </c>
      <c r="N119" s="86"/>
      <c r="O119" s="86"/>
      <c r="P119" s="85"/>
      <c r="Q119" s="181" t="s">
        <v>156</v>
      </c>
      <c r="R119" s="181" t="s">
        <v>156</v>
      </c>
      <c r="S119" s="181" t="s">
        <v>156</v>
      </c>
      <c r="T119" s="82"/>
      <c r="U119" s="25" t="s">
        <v>279</v>
      </c>
      <c r="V119" s="83"/>
      <c r="W119" s="83"/>
      <c r="X119" s="83"/>
      <c r="Y119" s="172">
        <f>5343.33805417123*1.15+4000</f>
        <v>10144.838762296915</v>
      </c>
      <c r="Z119" s="83"/>
      <c r="AB119" s="213">
        <f t="shared" si="4"/>
        <v>5934730.675943695</v>
      </c>
      <c r="AC119" s="258">
        <v>1</v>
      </c>
    </row>
    <row r="120" spans="1:31" s="84" customFormat="1" ht="56" x14ac:dyDescent="0.15">
      <c r="A120" s="25" t="s">
        <v>121</v>
      </c>
      <c r="B120" s="25" t="s">
        <v>167</v>
      </c>
      <c r="C120" s="83"/>
      <c r="D120" s="82"/>
      <c r="E120" s="181" t="s">
        <v>156</v>
      </c>
      <c r="F120" s="181" t="s">
        <v>156</v>
      </c>
      <c r="G120" s="181" t="s">
        <v>156</v>
      </c>
      <c r="H120" s="94"/>
      <c r="I120" s="181" t="s">
        <v>156</v>
      </c>
      <c r="J120" s="181" t="s">
        <v>156</v>
      </c>
      <c r="K120" s="181" t="s">
        <v>156</v>
      </c>
      <c r="L120" s="82"/>
      <c r="M120" s="181" t="s">
        <v>156</v>
      </c>
      <c r="N120" s="86"/>
      <c r="O120" s="86"/>
      <c r="P120" s="85"/>
      <c r="Q120" s="181" t="s">
        <v>156</v>
      </c>
      <c r="R120" s="181" t="s">
        <v>156</v>
      </c>
      <c r="S120" s="181" t="s">
        <v>156</v>
      </c>
      <c r="T120" s="82"/>
      <c r="U120" s="25" t="s">
        <v>109</v>
      </c>
      <c r="V120" s="83"/>
      <c r="W120" s="83"/>
      <c r="X120" s="83"/>
      <c r="Y120" s="172">
        <f>7470.00184463311*1.15</f>
        <v>8590.5021213280761</v>
      </c>
      <c r="Z120" s="83"/>
      <c r="AB120" s="213">
        <f t="shared" si="4"/>
        <v>5025443.7409769241</v>
      </c>
      <c r="AC120" s="264">
        <v>1</v>
      </c>
    </row>
    <row r="121" spans="1:31" s="84" customFormat="1" ht="112" x14ac:dyDescent="0.15">
      <c r="A121" s="25" t="s">
        <v>53</v>
      </c>
      <c r="B121" s="25" t="s">
        <v>323</v>
      </c>
      <c r="D121" s="82"/>
      <c r="E121" s="181" t="s">
        <v>156</v>
      </c>
      <c r="F121" s="181" t="s">
        <v>156</v>
      </c>
      <c r="G121" s="181" t="s">
        <v>156</v>
      </c>
      <c r="H121" s="85"/>
      <c r="I121" s="181" t="s">
        <v>156</v>
      </c>
      <c r="J121" s="181" t="s">
        <v>156</v>
      </c>
      <c r="K121" s="181" t="s">
        <v>156</v>
      </c>
      <c r="L121" s="82"/>
      <c r="M121" s="181" t="s">
        <v>156</v>
      </c>
      <c r="N121" s="86"/>
      <c r="O121" s="86"/>
      <c r="P121" s="85"/>
      <c r="Q121" s="181" t="s">
        <v>156</v>
      </c>
      <c r="R121" s="181" t="s">
        <v>156</v>
      </c>
      <c r="S121" s="181" t="s">
        <v>156</v>
      </c>
      <c r="T121" s="82"/>
      <c r="U121" s="25" t="s">
        <v>110</v>
      </c>
      <c r="V121" s="83"/>
      <c r="W121" s="83"/>
      <c r="X121" s="83"/>
      <c r="Y121" s="172">
        <v>14934.1679408863</v>
      </c>
      <c r="Z121" s="83"/>
      <c r="AB121" s="213">
        <f t="shared" si="4"/>
        <v>8736488.2454184853</v>
      </c>
      <c r="AC121" s="258">
        <v>1</v>
      </c>
    </row>
    <row r="122" spans="1:31" s="84" customFormat="1" ht="14" x14ac:dyDescent="0.15">
      <c r="A122" s="37" t="s">
        <v>169</v>
      </c>
      <c r="B122" s="23"/>
      <c r="C122" s="23"/>
      <c r="D122" s="23"/>
      <c r="E122" s="23"/>
      <c r="F122" s="23"/>
      <c r="G122" s="23"/>
      <c r="H122" s="23"/>
      <c r="I122" s="23"/>
      <c r="J122" s="23"/>
      <c r="K122" s="23"/>
      <c r="L122" s="23"/>
      <c r="M122" s="23"/>
      <c r="N122" s="23"/>
      <c r="O122" s="23"/>
      <c r="P122" s="23"/>
      <c r="Q122" s="23"/>
      <c r="R122" s="23"/>
      <c r="S122" s="23"/>
      <c r="T122" s="23"/>
      <c r="U122" s="23"/>
      <c r="V122" s="23"/>
      <c r="W122" s="23"/>
      <c r="X122" s="76"/>
      <c r="Y122" s="92"/>
      <c r="Z122" s="24"/>
      <c r="AC122" s="264"/>
      <c r="AE122" s="261">
        <v>1</v>
      </c>
    </row>
    <row r="123" spans="1:31" s="84" customFormat="1" ht="28" x14ac:dyDescent="0.15">
      <c r="A123" s="25" t="s">
        <v>237</v>
      </c>
      <c r="B123" s="25" t="s">
        <v>55</v>
      </c>
      <c r="C123" s="83"/>
      <c r="D123" s="82"/>
      <c r="E123" s="115"/>
      <c r="F123" s="83"/>
      <c r="G123" s="181" t="s">
        <v>156</v>
      </c>
      <c r="H123" s="85"/>
      <c r="I123" s="86"/>
      <c r="J123" s="86"/>
      <c r="K123" s="181" t="s">
        <v>156</v>
      </c>
      <c r="L123" s="85"/>
      <c r="M123" s="86"/>
      <c r="N123" s="86"/>
      <c r="O123" s="181" t="s">
        <v>156</v>
      </c>
      <c r="P123" s="85"/>
      <c r="Q123" s="86"/>
      <c r="R123" s="86"/>
      <c r="S123" s="181" t="s">
        <v>156</v>
      </c>
      <c r="T123" s="82"/>
      <c r="U123" s="25" t="s">
        <v>207</v>
      </c>
      <c r="V123" s="83"/>
      <c r="W123" s="83"/>
      <c r="X123" s="83"/>
      <c r="Y123" s="172">
        <v>3765.82</v>
      </c>
      <c r="Z123" s="83"/>
      <c r="AB123" s="213">
        <f>Y123*585</f>
        <v>2203004.7000000002</v>
      </c>
      <c r="AC123" s="258">
        <v>1</v>
      </c>
      <c r="AE123" s="259"/>
    </row>
    <row r="124" spans="1:31" s="84" customFormat="1" ht="42" x14ac:dyDescent="0.15">
      <c r="A124" s="36" t="s">
        <v>195</v>
      </c>
      <c r="B124" s="23"/>
      <c r="C124" s="23"/>
      <c r="D124" s="23"/>
      <c r="E124" s="23"/>
      <c r="F124" s="23"/>
      <c r="G124" s="23"/>
      <c r="H124" s="23"/>
      <c r="I124" s="23"/>
      <c r="J124" s="23"/>
      <c r="K124" s="23"/>
      <c r="L124" s="23"/>
      <c r="M124" s="23"/>
      <c r="N124" s="23"/>
      <c r="O124" s="23"/>
      <c r="P124" s="23"/>
      <c r="Q124" s="23"/>
      <c r="R124" s="23"/>
      <c r="S124" s="23"/>
      <c r="T124" s="23"/>
      <c r="U124" s="23"/>
      <c r="V124" s="23"/>
      <c r="W124" s="23"/>
      <c r="X124" s="76"/>
      <c r="Y124" s="92"/>
      <c r="Z124" s="24" t="s">
        <v>129</v>
      </c>
      <c r="AC124" s="264"/>
      <c r="AE124" s="259">
        <v>1</v>
      </c>
    </row>
    <row r="125" spans="1:31" s="84" customFormat="1" ht="42" x14ac:dyDescent="0.15">
      <c r="A125" s="25" t="s">
        <v>208</v>
      </c>
      <c r="B125" s="25" t="s">
        <v>444</v>
      </c>
      <c r="C125" s="83"/>
      <c r="D125" s="82"/>
      <c r="E125" s="155"/>
      <c r="F125" s="86"/>
      <c r="G125" s="181" t="s">
        <v>156</v>
      </c>
      <c r="H125" s="85"/>
      <c r="I125" s="86"/>
      <c r="J125" s="86"/>
      <c r="K125" s="181" t="s">
        <v>156</v>
      </c>
      <c r="L125" s="85"/>
      <c r="M125" s="86"/>
      <c r="N125" s="86"/>
      <c r="O125" s="181" t="s">
        <v>156</v>
      </c>
      <c r="P125" s="85"/>
      <c r="Q125" s="86"/>
      <c r="R125" s="86"/>
      <c r="S125" s="181" t="s">
        <v>156</v>
      </c>
      <c r="T125" s="82"/>
      <c r="U125" s="25" t="s">
        <v>209</v>
      </c>
      <c r="V125" s="83"/>
      <c r="W125" s="83"/>
      <c r="X125" s="83"/>
      <c r="Y125" s="172">
        <v>8382.91</v>
      </c>
      <c r="Z125" s="83"/>
      <c r="AB125" s="213">
        <f>Y125*585</f>
        <v>4904002.3499999996</v>
      </c>
      <c r="AC125" s="258">
        <v>1</v>
      </c>
      <c r="AD125" s="256">
        <f>SUM(AC103:AC125)</f>
        <v>18</v>
      </c>
      <c r="AE125" s="257">
        <f>SUM(AE102:AE124)</f>
        <v>6</v>
      </c>
    </row>
    <row r="126" spans="1:31" s="84" customFormat="1" x14ac:dyDescent="0.15">
      <c r="A126" s="142" t="s">
        <v>56</v>
      </c>
      <c r="B126" s="107"/>
      <c r="C126" s="20"/>
      <c r="D126" s="20"/>
      <c r="E126" s="20"/>
      <c r="F126" s="20"/>
      <c r="G126" s="20"/>
      <c r="H126" s="20"/>
      <c r="I126" s="20"/>
      <c r="J126" s="20"/>
      <c r="K126" s="20"/>
      <c r="L126" s="20"/>
      <c r="M126" s="20"/>
      <c r="N126" s="20"/>
      <c r="O126" s="20"/>
      <c r="P126" s="20"/>
      <c r="Q126" s="20"/>
      <c r="R126" s="20"/>
      <c r="S126" s="20"/>
      <c r="T126" s="20"/>
      <c r="U126" s="20"/>
      <c r="V126" s="20"/>
      <c r="W126" s="20"/>
      <c r="X126" s="108"/>
      <c r="Y126" s="108"/>
      <c r="Z126" s="110"/>
      <c r="AC126" s="261"/>
    </row>
    <row r="127" spans="1:31" s="78" customFormat="1" ht="28" x14ac:dyDescent="0.15">
      <c r="A127" s="36" t="s">
        <v>57</v>
      </c>
      <c r="B127" s="23"/>
      <c r="C127" s="23"/>
      <c r="D127" s="23"/>
      <c r="E127" s="23"/>
      <c r="F127" s="23"/>
      <c r="G127" s="23"/>
      <c r="H127" s="23"/>
      <c r="I127" s="23"/>
      <c r="J127" s="23"/>
      <c r="K127" s="23"/>
      <c r="L127" s="23"/>
      <c r="M127" s="23"/>
      <c r="N127" s="23"/>
      <c r="O127" s="23"/>
      <c r="P127" s="23"/>
      <c r="Q127" s="23"/>
      <c r="R127" s="23"/>
      <c r="S127" s="23"/>
      <c r="T127" s="23"/>
      <c r="U127" s="23"/>
      <c r="V127" s="23"/>
      <c r="W127" s="23"/>
      <c r="X127" s="76"/>
      <c r="Y127" s="92"/>
      <c r="Z127" s="24" t="s">
        <v>128</v>
      </c>
      <c r="AC127" s="262"/>
      <c r="AE127" s="261">
        <v>1</v>
      </c>
    </row>
    <row r="128" spans="1:31" s="84" customFormat="1" ht="48" x14ac:dyDescent="0.15">
      <c r="A128" s="148" t="s">
        <v>58</v>
      </c>
      <c r="B128" s="25" t="s">
        <v>125</v>
      </c>
      <c r="C128" s="83"/>
      <c r="D128" s="82"/>
      <c r="E128" s="181" t="s">
        <v>156</v>
      </c>
      <c r="F128" s="81"/>
      <c r="G128" s="81"/>
      <c r="H128" s="94"/>
      <c r="I128" s="81"/>
      <c r="J128" s="181" t="s">
        <v>156</v>
      </c>
      <c r="K128" s="144"/>
      <c r="L128" s="85"/>
      <c r="M128" s="86"/>
      <c r="N128" s="86"/>
      <c r="O128" s="86"/>
      <c r="P128" s="85"/>
      <c r="Q128" s="86"/>
      <c r="R128" s="181" t="s">
        <v>156</v>
      </c>
      <c r="S128" s="144"/>
      <c r="T128" s="82"/>
      <c r="U128" s="25" t="s">
        <v>170</v>
      </c>
      <c r="V128" s="83"/>
      <c r="W128" s="172"/>
      <c r="X128" s="83"/>
      <c r="Y128" s="172">
        <f>2103.79643787626*1.15</f>
        <v>2419.3659035576989</v>
      </c>
      <c r="Z128" s="116"/>
      <c r="AB128" s="213">
        <f>Y128*585</f>
        <v>1415329.0535812539</v>
      </c>
      <c r="AC128" s="258">
        <v>1</v>
      </c>
      <c r="AE128" s="261"/>
    </row>
    <row r="129" spans="1:33" s="84" customFormat="1" ht="28" x14ac:dyDescent="0.15">
      <c r="A129" s="148" t="s">
        <v>62</v>
      </c>
      <c r="B129" s="25" t="s">
        <v>125</v>
      </c>
      <c r="C129" s="83"/>
      <c r="D129" s="82"/>
      <c r="E129" s="181" t="s">
        <v>156</v>
      </c>
      <c r="F129" s="83"/>
      <c r="G129" s="83"/>
      <c r="H129" s="82"/>
      <c r="I129" s="83"/>
      <c r="J129" s="181" t="s">
        <v>156</v>
      </c>
      <c r="K129" s="144"/>
      <c r="L129" s="82"/>
      <c r="M129" s="83"/>
      <c r="N129" s="83"/>
      <c r="O129" s="83"/>
      <c r="P129" s="82"/>
      <c r="Q129" s="83"/>
      <c r="R129" s="181" t="s">
        <v>156</v>
      </c>
      <c r="S129" s="144"/>
      <c r="T129" s="82"/>
      <c r="U129" s="25" t="s">
        <v>111</v>
      </c>
      <c r="V129" s="83"/>
      <c r="W129" s="172"/>
      <c r="X129" s="83"/>
      <c r="Y129" s="172">
        <f>1097.63292410935*1.15</f>
        <v>1262.2778627257524</v>
      </c>
      <c r="Z129" s="116"/>
      <c r="AB129" s="213">
        <f>Y129*585</f>
        <v>738432.54969456512</v>
      </c>
      <c r="AC129" s="264">
        <v>1</v>
      </c>
      <c r="AE129" s="261"/>
    </row>
    <row r="130" spans="1:33" s="84" customFormat="1" ht="28" x14ac:dyDescent="0.15">
      <c r="A130" s="149" t="s">
        <v>59</v>
      </c>
      <c r="B130" s="23"/>
      <c r="C130" s="23"/>
      <c r="D130" s="23"/>
      <c r="E130" s="23"/>
      <c r="F130" s="23"/>
      <c r="G130" s="23"/>
      <c r="H130" s="23"/>
      <c r="I130" s="23"/>
      <c r="J130" s="23"/>
      <c r="K130" s="23"/>
      <c r="L130" s="23"/>
      <c r="M130" s="23"/>
      <c r="N130" s="23"/>
      <c r="O130" s="23"/>
      <c r="P130" s="23"/>
      <c r="Q130" s="23"/>
      <c r="R130" s="23"/>
      <c r="S130" s="23"/>
      <c r="T130" s="23"/>
      <c r="U130" s="23"/>
      <c r="V130" s="23"/>
      <c r="W130" s="23"/>
      <c r="X130" s="76"/>
      <c r="Y130" s="92"/>
      <c r="Z130" s="24" t="s">
        <v>171</v>
      </c>
      <c r="AB130" s="213"/>
      <c r="AC130" s="258"/>
      <c r="AE130" s="261">
        <v>1</v>
      </c>
    </row>
    <row r="131" spans="1:33" s="84" customFormat="1" ht="28" x14ac:dyDescent="0.15">
      <c r="A131" s="25" t="s">
        <v>60</v>
      </c>
      <c r="B131" s="25" t="s">
        <v>141</v>
      </c>
      <c r="C131" s="83"/>
      <c r="D131" s="82"/>
      <c r="E131" s="83"/>
      <c r="F131" s="83"/>
      <c r="G131" s="83"/>
      <c r="H131" s="82"/>
      <c r="I131" s="83"/>
      <c r="J131" s="181" t="s">
        <v>156</v>
      </c>
      <c r="K131" s="83"/>
      <c r="L131" s="82"/>
      <c r="M131" s="83"/>
      <c r="N131" s="83"/>
      <c r="O131" s="83"/>
      <c r="P131" s="82"/>
      <c r="Q131" s="83"/>
      <c r="R131" s="181" t="s">
        <v>156</v>
      </c>
      <c r="S131" s="144"/>
      <c r="T131" s="82"/>
      <c r="U131" s="25" t="s">
        <v>112</v>
      </c>
      <c r="V131" s="83"/>
      <c r="X131" s="83"/>
      <c r="Y131" s="172">
        <f>3170.93955853814*1.15</f>
        <v>3646.5804923188607</v>
      </c>
      <c r="Z131" s="83"/>
      <c r="AB131" s="213">
        <f>Y131*585</f>
        <v>2133249.5880065337</v>
      </c>
      <c r="AC131" s="264">
        <v>1</v>
      </c>
      <c r="AE131" s="261"/>
    </row>
    <row r="132" spans="1:33" s="84" customFormat="1" ht="28" x14ac:dyDescent="0.15">
      <c r="A132" s="45" t="s">
        <v>61</v>
      </c>
      <c r="B132" s="25" t="s">
        <v>140</v>
      </c>
      <c r="C132" s="83"/>
      <c r="D132" s="82"/>
      <c r="E132" s="83"/>
      <c r="F132" s="83"/>
      <c r="G132" s="83"/>
      <c r="H132" s="82"/>
      <c r="I132" s="83"/>
      <c r="J132" s="181" t="s">
        <v>156</v>
      </c>
      <c r="K132" s="83"/>
      <c r="L132" s="82"/>
      <c r="M132" s="83"/>
      <c r="N132" s="83"/>
      <c r="O132" s="83"/>
      <c r="P132" s="82"/>
      <c r="Q132" s="83"/>
      <c r="R132" s="181" t="s">
        <v>156</v>
      </c>
      <c r="S132" s="144"/>
      <c r="T132" s="82"/>
      <c r="U132" s="26" t="s">
        <v>113</v>
      </c>
      <c r="V132" s="83"/>
      <c r="W132" s="83"/>
      <c r="X132" s="83"/>
      <c r="Y132" s="172">
        <f>2103.79643787626*1.15</f>
        <v>2419.3659035576989</v>
      </c>
      <c r="Z132" s="83"/>
      <c r="AB132" s="213">
        <f>Y132*585</f>
        <v>1415329.0535812539</v>
      </c>
      <c r="AC132" s="258">
        <v>1</v>
      </c>
      <c r="AE132" s="261"/>
    </row>
    <row r="133" spans="1:33" s="84" customFormat="1" ht="28" x14ac:dyDescent="0.15">
      <c r="A133" s="149" t="s">
        <v>122</v>
      </c>
      <c r="B133" s="23"/>
      <c r="C133" s="23"/>
      <c r="D133" s="23"/>
      <c r="E133" s="23"/>
      <c r="F133" s="23"/>
      <c r="G133" s="23"/>
      <c r="H133" s="23"/>
      <c r="I133" s="23"/>
      <c r="J133" s="23"/>
      <c r="K133" s="23"/>
      <c r="L133" s="23"/>
      <c r="M133" s="23"/>
      <c r="N133" s="23"/>
      <c r="O133" s="23"/>
      <c r="P133" s="23"/>
      <c r="Q133" s="23"/>
      <c r="R133" s="23"/>
      <c r="S133" s="23"/>
      <c r="T133" s="23"/>
      <c r="U133" s="23"/>
      <c r="V133" s="23"/>
      <c r="W133" s="23"/>
      <c r="X133" s="76"/>
      <c r="Y133" s="92"/>
      <c r="Z133" s="24" t="s">
        <v>172</v>
      </c>
      <c r="AC133" s="258"/>
      <c r="AE133" s="261">
        <v>1</v>
      </c>
    </row>
    <row r="134" spans="1:33" s="84" customFormat="1" ht="16" x14ac:dyDescent="0.15">
      <c r="A134" s="25" t="s">
        <v>243</v>
      </c>
      <c r="B134" s="79"/>
      <c r="C134" s="83"/>
      <c r="D134" s="82"/>
      <c r="E134" s="155"/>
      <c r="F134" s="181" t="s">
        <v>156</v>
      </c>
      <c r="G134" s="181" t="s">
        <v>156</v>
      </c>
      <c r="H134" s="105"/>
      <c r="I134" s="181" t="s">
        <v>156</v>
      </c>
      <c r="J134" s="181" t="s">
        <v>156</v>
      </c>
      <c r="K134" s="181" t="s">
        <v>156</v>
      </c>
      <c r="L134" s="105"/>
      <c r="M134" s="181" t="s">
        <v>156</v>
      </c>
      <c r="N134" s="181" t="s">
        <v>156</v>
      </c>
      <c r="O134" s="181" t="s">
        <v>156</v>
      </c>
      <c r="P134" s="82"/>
      <c r="Q134" s="181" t="s">
        <v>156</v>
      </c>
      <c r="R134" s="181" t="s">
        <v>156</v>
      </c>
      <c r="S134" s="181" t="s">
        <v>156</v>
      </c>
      <c r="T134" s="82"/>
      <c r="U134" s="25" t="s">
        <v>114</v>
      </c>
      <c r="V134" s="83"/>
      <c r="W134" s="172"/>
      <c r="X134" s="172"/>
      <c r="Y134" s="172">
        <f>36587.7641369785*1.15</f>
        <v>42075.928757525267</v>
      </c>
      <c r="Z134" s="83"/>
      <c r="AB134" s="213">
        <f>Y134*585</f>
        <v>24614418.323152281</v>
      </c>
      <c r="AC134" s="264">
        <v>1</v>
      </c>
      <c r="AD134" s="216"/>
      <c r="AE134" s="275"/>
      <c r="AF134" s="216"/>
      <c r="AG134" s="216"/>
    </row>
    <row r="135" spans="1:33" s="84" customFormat="1" ht="14" x14ac:dyDescent="0.15">
      <c r="A135" s="36" t="s">
        <v>196</v>
      </c>
      <c r="B135" s="209"/>
      <c r="C135" s="23"/>
      <c r="D135" s="23"/>
      <c r="E135" s="23"/>
      <c r="F135" s="23"/>
      <c r="G135" s="23"/>
      <c r="H135" s="23"/>
      <c r="I135" s="23"/>
      <c r="J135" s="23"/>
      <c r="K135" s="23"/>
      <c r="L135" s="23"/>
      <c r="M135" s="23"/>
      <c r="N135" s="23"/>
      <c r="O135" s="23"/>
      <c r="P135" s="23"/>
      <c r="Q135" s="23"/>
      <c r="R135" s="23"/>
      <c r="S135" s="23"/>
      <c r="T135" s="23"/>
      <c r="U135" s="23"/>
      <c r="V135" s="23"/>
      <c r="W135" s="23"/>
      <c r="X135" s="76"/>
      <c r="Y135" s="76"/>
      <c r="Z135" s="24" t="s">
        <v>199</v>
      </c>
      <c r="AC135" s="258"/>
      <c r="AE135" s="261">
        <v>1</v>
      </c>
    </row>
    <row r="136" spans="1:33" s="84" customFormat="1" ht="28" x14ac:dyDescent="0.15">
      <c r="A136" s="254" t="s">
        <v>280</v>
      </c>
      <c r="B136" s="226" t="s">
        <v>340</v>
      </c>
      <c r="C136" s="91"/>
      <c r="D136" s="82"/>
      <c r="E136" s="83"/>
      <c r="F136" s="83"/>
      <c r="G136" s="181" t="s">
        <v>156</v>
      </c>
      <c r="H136" s="82"/>
      <c r="I136" s="144"/>
      <c r="J136" s="144"/>
      <c r="K136" s="95"/>
      <c r="L136" s="96"/>
      <c r="M136" s="97"/>
      <c r="N136" s="144"/>
      <c r="O136" s="83"/>
      <c r="P136" s="82"/>
      <c r="Q136" s="83"/>
      <c r="R136" s="83"/>
      <c r="S136" s="83"/>
      <c r="T136" s="82"/>
      <c r="U136" s="25"/>
      <c r="V136" s="83"/>
      <c r="W136" s="172">
        <v>55570.940170940172</v>
      </c>
      <c r="X136" s="83"/>
      <c r="Y136" s="83"/>
      <c r="Z136" s="83"/>
      <c r="AB136" s="213">
        <f>W136*585</f>
        <v>32509000</v>
      </c>
      <c r="AC136" s="264">
        <v>1</v>
      </c>
      <c r="AE136" s="261"/>
    </row>
    <row r="137" spans="1:33" s="84" customFormat="1" ht="70" x14ac:dyDescent="0.15">
      <c r="A137" s="140" t="s">
        <v>423</v>
      </c>
      <c r="B137" s="25" t="s">
        <v>424</v>
      </c>
      <c r="C137" s="91"/>
      <c r="D137" s="82"/>
      <c r="E137" s="83"/>
      <c r="F137" s="83"/>
      <c r="G137" s="144"/>
      <c r="H137" s="82"/>
      <c r="I137" s="181" t="s">
        <v>156</v>
      </c>
      <c r="J137" s="181" t="s">
        <v>156</v>
      </c>
      <c r="K137" s="95"/>
      <c r="L137" s="96"/>
      <c r="M137" s="97"/>
      <c r="N137" s="144"/>
      <c r="O137" s="83"/>
      <c r="P137" s="82"/>
      <c r="Q137" s="83"/>
      <c r="R137" s="83"/>
      <c r="S137" s="83"/>
      <c r="T137" s="82"/>
      <c r="U137" s="25" t="s">
        <v>200</v>
      </c>
      <c r="V137" s="83"/>
      <c r="W137" s="172">
        <v>150000</v>
      </c>
      <c r="X137" s="83"/>
      <c r="Y137" s="83"/>
      <c r="Z137" s="83"/>
      <c r="AB137" s="213">
        <f>W137*585</f>
        <v>87750000</v>
      </c>
      <c r="AC137" s="258">
        <v>1</v>
      </c>
      <c r="AE137" s="261"/>
    </row>
    <row r="138" spans="1:33" s="84" customFormat="1" ht="42" x14ac:dyDescent="0.15">
      <c r="A138" s="140" t="s">
        <v>400</v>
      </c>
      <c r="B138" s="210" t="s">
        <v>425</v>
      </c>
      <c r="C138" s="83"/>
      <c r="D138" s="82"/>
      <c r="E138" s="83"/>
      <c r="F138" s="83"/>
      <c r="G138" s="83"/>
      <c r="H138" s="82"/>
      <c r="I138" s="181" t="s">
        <v>156</v>
      </c>
      <c r="J138" s="144"/>
      <c r="K138" s="100"/>
      <c r="L138" s="101"/>
      <c r="M138" s="100"/>
      <c r="N138" s="83"/>
      <c r="O138" s="83"/>
      <c r="P138" s="82"/>
      <c r="Q138" s="83"/>
      <c r="R138" s="83"/>
      <c r="S138" s="83"/>
      <c r="T138" s="82"/>
      <c r="U138" s="45" t="s">
        <v>426</v>
      </c>
      <c r="V138" s="83"/>
      <c r="W138" s="172">
        <f>18293.8820684892*1.15</f>
        <v>21037.964378762579</v>
      </c>
      <c r="X138" s="155"/>
      <c r="Y138" s="83"/>
      <c r="Z138" s="83"/>
      <c r="AB138" s="213">
        <f>W138*585</f>
        <v>12307209.161576109</v>
      </c>
      <c r="AC138" s="258">
        <v>1</v>
      </c>
      <c r="AE138" s="261"/>
    </row>
    <row r="139" spans="1:33" s="84" customFormat="1" ht="14" x14ac:dyDescent="0.15">
      <c r="A139" s="36" t="s">
        <v>173</v>
      </c>
      <c r="B139" s="23"/>
      <c r="C139" s="23"/>
      <c r="D139" s="23"/>
      <c r="E139" s="23"/>
      <c r="F139" s="23"/>
      <c r="G139" s="23"/>
      <c r="H139" s="23"/>
      <c r="I139" s="23"/>
      <c r="J139" s="23"/>
      <c r="K139" s="23"/>
      <c r="L139" s="23"/>
      <c r="M139" s="23"/>
      <c r="N139" s="23"/>
      <c r="O139" s="23"/>
      <c r="P139" s="23"/>
      <c r="Q139" s="23"/>
      <c r="R139" s="23"/>
      <c r="S139" s="23"/>
      <c r="T139" s="23"/>
      <c r="U139" s="23"/>
      <c r="V139" s="23"/>
      <c r="W139" s="76"/>
      <c r="X139" s="76"/>
      <c r="Y139" s="92"/>
      <c r="Z139" s="24" t="s">
        <v>199</v>
      </c>
      <c r="AC139" s="264"/>
      <c r="AE139" s="261">
        <v>1</v>
      </c>
    </row>
    <row r="140" spans="1:33" s="84" customFormat="1" ht="42" x14ac:dyDescent="0.15">
      <c r="A140" s="141" t="s">
        <v>224</v>
      </c>
      <c r="B140" s="25" t="s">
        <v>281</v>
      </c>
      <c r="C140" s="83"/>
      <c r="D140" s="82"/>
      <c r="E140" s="181" t="s">
        <v>156</v>
      </c>
      <c r="F140" s="181" t="s">
        <v>156</v>
      </c>
      <c r="G140" s="181" t="s">
        <v>156</v>
      </c>
      <c r="H140" s="94"/>
      <c r="I140" s="181" t="s">
        <v>156</v>
      </c>
      <c r="J140" s="181" t="s">
        <v>156</v>
      </c>
      <c r="K140" s="181" t="s">
        <v>156</v>
      </c>
      <c r="L140" s="94"/>
      <c r="M140" s="181" t="s">
        <v>156</v>
      </c>
      <c r="N140" s="181" t="s">
        <v>156</v>
      </c>
      <c r="O140" s="181" t="s">
        <v>156</v>
      </c>
      <c r="P140" s="94"/>
      <c r="Q140" s="181" t="s">
        <v>156</v>
      </c>
      <c r="R140" s="181" t="s">
        <v>156</v>
      </c>
      <c r="S140" s="181" t="s">
        <v>156</v>
      </c>
      <c r="T140" s="82"/>
      <c r="U140" s="25" t="s">
        <v>201</v>
      </c>
      <c r="V140" s="79"/>
      <c r="W140" s="172">
        <f>73682.77*1.15</f>
        <v>84735.185499999992</v>
      </c>
      <c r="X140" s="86"/>
      <c r="Y140" s="86"/>
      <c r="Z140" s="117"/>
      <c r="AB140" s="213">
        <f>W140*585</f>
        <v>49570083.517499998</v>
      </c>
      <c r="AC140" s="258">
        <v>1</v>
      </c>
      <c r="AE140" s="261"/>
    </row>
    <row r="141" spans="1:33" s="84" customFormat="1" ht="14" x14ac:dyDescent="0.15">
      <c r="A141" s="36" t="s">
        <v>174</v>
      </c>
      <c r="B141" s="23"/>
      <c r="C141" s="23"/>
      <c r="D141" s="23"/>
      <c r="E141" s="23"/>
      <c r="F141" s="23"/>
      <c r="G141" s="23"/>
      <c r="H141" s="23"/>
      <c r="I141" s="23"/>
      <c r="J141" s="23"/>
      <c r="K141" s="23"/>
      <c r="L141" s="23"/>
      <c r="M141" s="23"/>
      <c r="N141" s="23"/>
      <c r="O141" s="23"/>
      <c r="P141" s="23"/>
      <c r="Q141" s="23"/>
      <c r="R141" s="23"/>
      <c r="S141" s="23"/>
      <c r="T141" s="23"/>
      <c r="U141" s="23"/>
      <c r="V141" s="23"/>
      <c r="W141" s="212"/>
      <c r="X141" s="76"/>
      <c r="Y141" s="92"/>
      <c r="Z141" s="24" t="s">
        <v>138</v>
      </c>
      <c r="AC141" s="264"/>
      <c r="AE141" s="261">
        <v>1</v>
      </c>
    </row>
    <row r="142" spans="1:33" s="84" customFormat="1" ht="28" x14ac:dyDescent="0.15">
      <c r="A142" s="25" t="s">
        <v>175</v>
      </c>
      <c r="B142" s="25" t="s">
        <v>377</v>
      </c>
      <c r="C142" s="83"/>
      <c r="D142" s="85"/>
      <c r="E142" s="86"/>
      <c r="F142" s="86"/>
      <c r="G142" s="86"/>
      <c r="H142" s="85"/>
      <c r="I142" s="181" t="s">
        <v>156</v>
      </c>
      <c r="J142" s="86"/>
      <c r="K142" s="86"/>
      <c r="L142" s="85"/>
      <c r="M142" s="86"/>
      <c r="N142" s="86"/>
      <c r="O142" s="86"/>
      <c r="P142" s="85"/>
      <c r="Q142" s="86"/>
      <c r="R142" s="86"/>
      <c r="S142" s="86"/>
      <c r="T142" s="85"/>
      <c r="U142" s="26" t="s">
        <v>115</v>
      </c>
      <c r="V142" s="86"/>
      <c r="W142" s="172">
        <f>15183.9221168461*1.15</f>
        <v>17461.510434373016</v>
      </c>
      <c r="X142" s="155"/>
      <c r="Y142" s="86"/>
      <c r="Z142" s="86"/>
      <c r="AB142" s="213">
        <f>W142*585</f>
        <v>10214983.604108214</v>
      </c>
      <c r="AC142" s="258">
        <v>1</v>
      </c>
      <c r="AE142" s="261"/>
    </row>
    <row r="143" spans="1:33" s="87" customFormat="1" ht="42" x14ac:dyDescent="0.2">
      <c r="A143" s="25" t="s">
        <v>176</v>
      </c>
      <c r="B143" s="25" t="s">
        <v>377</v>
      </c>
      <c r="C143" s="86"/>
      <c r="D143" s="85"/>
      <c r="E143" s="86"/>
      <c r="F143" s="86"/>
      <c r="G143" s="86"/>
      <c r="H143" s="85"/>
      <c r="I143" s="181" t="s">
        <v>156</v>
      </c>
      <c r="J143" s="86"/>
      <c r="K143" s="86"/>
      <c r="L143" s="85"/>
      <c r="M143" s="86"/>
      <c r="N143" s="86"/>
      <c r="O143" s="86"/>
      <c r="P143" s="85"/>
      <c r="Q143" s="86"/>
      <c r="R143" s="86"/>
      <c r="S143" s="86"/>
      <c r="T143" s="85"/>
      <c r="U143" s="25" t="s">
        <v>210</v>
      </c>
      <c r="V143" s="86"/>
      <c r="W143" s="172">
        <f>(11982.4927548605+2744.08+4664.94)*1.15</f>
        <v>22300.239668089569</v>
      </c>
      <c r="X143" s="155"/>
      <c r="Y143" s="86"/>
      <c r="Z143" s="86"/>
      <c r="AB143" s="213">
        <f>W143*585</f>
        <v>13045640.205832398</v>
      </c>
      <c r="AC143" s="258">
        <v>1</v>
      </c>
      <c r="AE143" s="218"/>
    </row>
    <row r="144" spans="1:33" s="87" customFormat="1" ht="53" customHeight="1" x14ac:dyDescent="0.15">
      <c r="A144" s="25" t="s">
        <v>197</v>
      </c>
      <c r="B144" s="25" t="s">
        <v>387</v>
      </c>
      <c r="C144" s="86"/>
      <c r="D144" s="85"/>
      <c r="E144" s="86"/>
      <c r="F144" s="86"/>
      <c r="G144" s="86"/>
      <c r="H144" s="85"/>
      <c r="I144" s="181" t="s">
        <v>156</v>
      </c>
      <c r="J144" s="86"/>
      <c r="K144" s="86"/>
      <c r="L144" s="85"/>
      <c r="M144" s="86"/>
      <c r="N144" s="86"/>
      <c r="O144" s="86"/>
      <c r="P144" s="85"/>
      <c r="Q144" s="86"/>
      <c r="R144" s="86"/>
      <c r="S144" s="86"/>
      <c r="T144" s="85"/>
      <c r="U144" s="25" t="s">
        <v>116</v>
      </c>
      <c r="V144" s="86"/>
      <c r="W144" s="172">
        <f>21293.88*1.15</f>
        <v>24487.962</v>
      </c>
      <c r="X144" s="155"/>
      <c r="Y144" s="86"/>
      <c r="Z144" s="86"/>
      <c r="AB144" s="213">
        <f t="shared" ref="AB144:AB151" si="5">W144*585</f>
        <v>14325457.77</v>
      </c>
      <c r="AC144" s="264">
        <v>1</v>
      </c>
      <c r="AE144" s="218"/>
    </row>
    <row r="145" spans="1:33" s="84" customFormat="1" ht="28" x14ac:dyDescent="0.15">
      <c r="A145" s="25" t="s">
        <v>325</v>
      </c>
      <c r="B145" s="25" t="s">
        <v>387</v>
      </c>
      <c r="C145" s="86"/>
      <c r="D145" s="82"/>
      <c r="E145" s="83"/>
      <c r="F145" s="83"/>
      <c r="G145" s="83"/>
      <c r="H145" s="82"/>
      <c r="I145" s="181" t="s">
        <v>156</v>
      </c>
      <c r="J145" s="83"/>
      <c r="K145" s="83"/>
      <c r="L145" s="82"/>
      <c r="M145" s="83"/>
      <c r="N145" s="83"/>
      <c r="O145" s="83"/>
      <c r="P145" s="82"/>
      <c r="Q145" s="83"/>
      <c r="R145" s="83"/>
      <c r="S145" s="83"/>
      <c r="T145" s="82"/>
      <c r="U145" s="25" t="s">
        <v>211</v>
      </c>
      <c r="V145" s="83"/>
      <c r="W145" s="172">
        <f>5259.49109469066*1.15</f>
        <v>6048.4147588942587</v>
      </c>
      <c r="X145" s="155"/>
      <c r="Y145" s="83"/>
      <c r="Z145" s="83"/>
      <c r="AB145" s="213">
        <f t="shared" si="5"/>
        <v>3538322.6339531415</v>
      </c>
      <c r="AC145" s="258">
        <v>1</v>
      </c>
      <c r="AE145" s="261"/>
    </row>
    <row r="146" spans="1:33" s="84" customFormat="1" ht="28" x14ac:dyDescent="0.15">
      <c r="A146" s="25" t="s">
        <v>324</v>
      </c>
      <c r="B146" s="25" t="s">
        <v>387</v>
      </c>
      <c r="C146" s="83"/>
      <c r="D146" s="82"/>
      <c r="E146" s="83"/>
      <c r="F146" s="83"/>
      <c r="G146" s="83"/>
      <c r="H146" s="82"/>
      <c r="I146" s="181" t="s">
        <v>156</v>
      </c>
      <c r="J146" s="83"/>
      <c r="K146" s="83"/>
      <c r="L146" s="82"/>
      <c r="M146" s="83"/>
      <c r="N146" s="83"/>
      <c r="O146" s="83"/>
      <c r="P146" s="82"/>
      <c r="Q146" s="83"/>
      <c r="R146" s="83"/>
      <c r="S146" s="83"/>
      <c r="T146" s="82"/>
      <c r="U146" s="25" t="s">
        <v>212</v>
      </c>
      <c r="V146" s="83"/>
      <c r="W146" s="172">
        <v>10186.386324786325</v>
      </c>
      <c r="X146" s="156"/>
      <c r="Y146" s="83"/>
      <c r="Z146" s="83"/>
      <c r="AB146" s="213">
        <f t="shared" si="5"/>
        <v>5959036</v>
      </c>
      <c r="AC146" s="264">
        <v>1</v>
      </c>
      <c r="AD146" s="244"/>
      <c r="AE146" s="261"/>
    </row>
    <row r="147" spans="1:33" s="84" customFormat="1" ht="28" x14ac:dyDescent="0.15">
      <c r="A147" s="25" t="s">
        <v>282</v>
      </c>
      <c r="B147" s="79" t="s">
        <v>378</v>
      </c>
      <c r="C147" s="83"/>
      <c r="D147" s="82"/>
      <c r="E147" s="83"/>
      <c r="F147" s="83"/>
      <c r="G147" s="83"/>
      <c r="H147" s="82"/>
      <c r="I147" s="181" t="s">
        <v>156</v>
      </c>
      <c r="J147" s="83"/>
      <c r="K147" s="83"/>
      <c r="L147" s="82"/>
      <c r="M147" s="83"/>
      <c r="N147" s="181" t="s">
        <v>156</v>
      </c>
      <c r="O147" s="83"/>
      <c r="P147" s="82"/>
      <c r="Q147" s="181" t="s">
        <v>156</v>
      </c>
      <c r="R147" s="83"/>
      <c r="S147" s="83"/>
      <c r="T147" s="82"/>
      <c r="U147" s="25" t="s">
        <v>213</v>
      </c>
      <c r="V147" s="83"/>
      <c r="W147" s="172">
        <v>4102.5641025641025</v>
      </c>
      <c r="X147" s="155"/>
      <c r="Y147" s="83"/>
      <c r="Z147" s="83"/>
      <c r="AB147" s="213">
        <f t="shared" si="5"/>
        <v>2400000</v>
      </c>
      <c r="AC147" s="258">
        <v>1</v>
      </c>
      <c r="AE147" s="261"/>
    </row>
    <row r="148" spans="1:33" s="84" customFormat="1" x14ac:dyDescent="0.15">
      <c r="A148" s="141" t="s">
        <v>283</v>
      </c>
      <c r="B148" s="80"/>
      <c r="C148" s="83"/>
      <c r="D148" s="82"/>
      <c r="E148" s="83"/>
      <c r="F148" s="83"/>
      <c r="G148" s="83"/>
      <c r="H148" s="82"/>
      <c r="I148" s="88"/>
      <c r="J148" s="83"/>
      <c r="K148" s="83"/>
      <c r="L148" s="82"/>
      <c r="M148" s="83"/>
      <c r="N148" s="83"/>
      <c r="O148" s="83"/>
      <c r="P148" s="82"/>
      <c r="Q148" s="83"/>
      <c r="R148" s="83"/>
      <c r="S148" s="83"/>
      <c r="T148" s="82"/>
      <c r="U148" s="141" t="s">
        <v>214</v>
      </c>
      <c r="V148" s="83"/>
      <c r="W148" s="172">
        <f>533.571560330936*1.15</f>
        <v>613.60729438057638</v>
      </c>
      <c r="X148" s="83"/>
      <c r="Y148" s="83"/>
      <c r="Z148" s="83"/>
      <c r="AB148" s="213">
        <f t="shared" si="5"/>
        <v>358960.26721263718</v>
      </c>
      <c r="AC148" s="258">
        <v>1</v>
      </c>
      <c r="AE148" s="261"/>
    </row>
    <row r="149" spans="1:33" s="98" customFormat="1" ht="28" x14ac:dyDescent="0.15">
      <c r="A149" s="45" t="s">
        <v>284</v>
      </c>
      <c r="B149" s="45" t="s">
        <v>238</v>
      </c>
      <c r="C149" s="103"/>
      <c r="D149" s="82"/>
      <c r="E149" s="103"/>
      <c r="F149" s="103"/>
      <c r="G149" s="181" t="s">
        <v>156</v>
      </c>
      <c r="H149" s="82"/>
      <c r="I149" s="104"/>
      <c r="J149" s="103"/>
      <c r="K149" s="181" t="s">
        <v>156</v>
      </c>
      <c r="L149" s="82"/>
      <c r="M149" s="104"/>
      <c r="N149" s="104"/>
      <c r="O149" s="181" t="s">
        <v>156</v>
      </c>
      <c r="P149" s="82"/>
      <c r="Q149" s="104"/>
      <c r="R149" s="104"/>
      <c r="S149" s="181" t="s">
        <v>156</v>
      </c>
      <c r="T149" s="82"/>
      <c r="U149" s="45" t="s">
        <v>239</v>
      </c>
      <c r="V149" s="103"/>
      <c r="W149" s="172">
        <f>3*1829.39*1.15</f>
        <v>6311.3954999999996</v>
      </c>
      <c r="X149" s="103"/>
      <c r="Y149" s="103"/>
      <c r="Z149" s="103"/>
      <c r="AB149" s="233">
        <f t="shared" si="5"/>
        <v>3692166.3674999997</v>
      </c>
      <c r="AC149" s="264">
        <v>1</v>
      </c>
      <c r="AE149" s="276"/>
    </row>
    <row r="150" spans="1:33" s="98" customFormat="1" ht="42" x14ac:dyDescent="0.15">
      <c r="A150" s="45" t="s">
        <v>285</v>
      </c>
      <c r="B150" s="102" t="s">
        <v>379</v>
      </c>
      <c r="C150" s="103"/>
      <c r="D150" s="82"/>
      <c r="E150" s="181" t="s">
        <v>156</v>
      </c>
      <c r="F150" s="181" t="s">
        <v>156</v>
      </c>
      <c r="G150" s="181" t="s">
        <v>156</v>
      </c>
      <c r="H150" s="82"/>
      <c r="I150" s="181" t="s">
        <v>156</v>
      </c>
      <c r="J150" s="181" t="s">
        <v>156</v>
      </c>
      <c r="K150" s="181" t="s">
        <v>156</v>
      </c>
      <c r="L150" s="82"/>
      <c r="M150" s="181" t="s">
        <v>156</v>
      </c>
      <c r="N150" s="181" t="s">
        <v>156</v>
      </c>
      <c r="O150" s="181" t="s">
        <v>156</v>
      </c>
      <c r="P150" s="82"/>
      <c r="Q150" s="181" t="s">
        <v>156</v>
      </c>
      <c r="R150" s="181" t="s">
        <v>156</v>
      </c>
      <c r="S150" s="181" t="s">
        <v>156</v>
      </c>
      <c r="T150" s="82"/>
      <c r="U150" s="45" t="s">
        <v>215</v>
      </c>
      <c r="V150" s="45"/>
      <c r="W150" s="172">
        <f>(1829.39+2744.08)*1.15</f>
        <v>5259.4904999999999</v>
      </c>
      <c r="X150" s="103"/>
      <c r="Y150" s="103"/>
      <c r="Z150" s="103"/>
      <c r="AB150" s="213">
        <f t="shared" si="5"/>
        <v>3076801.9424999999</v>
      </c>
      <c r="AC150" s="258">
        <v>1</v>
      </c>
      <c r="AE150" s="276"/>
    </row>
    <row r="151" spans="1:33" s="98" customFormat="1" ht="26" x14ac:dyDescent="0.15">
      <c r="A151" s="45" t="s">
        <v>450</v>
      </c>
      <c r="B151" s="102" t="s">
        <v>451</v>
      </c>
      <c r="C151" s="103"/>
      <c r="D151" s="82"/>
      <c r="E151" s="181" t="s">
        <v>156</v>
      </c>
      <c r="F151" s="181" t="s">
        <v>156</v>
      </c>
      <c r="G151" s="181" t="s">
        <v>156</v>
      </c>
      <c r="H151" s="82"/>
      <c r="I151" s="181" t="s">
        <v>156</v>
      </c>
      <c r="J151" s="181" t="s">
        <v>156</v>
      </c>
      <c r="K151" s="181" t="s">
        <v>156</v>
      </c>
      <c r="L151" s="82"/>
      <c r="M151" s="181" t="s">
        <v>156</v>
      </c>
      <c r="N151" s="181" t="s">
        <v>156</v>
      </c>
      <c r="O151" s="181" t="s">
        <v>156</v>
      </c>
      <c r="P151" s="82"/>
      <c r="Q151" s="181" t="s">
        <v>156</v>
      </c>
      <c r="R151" s="181" t="s">
        <v>156</v>
      </c>
      <c r="S151" s="181" t="s">
        <v>156</v>
      </c>
      <c r="T151" s="82"/>
      <c r="U151" s="45"/>
      <c r="V151" s="45"/>
      <c r="W151" s="172">
        <v>1709.4017094017095</v>
      </c>
      <c r="X151" s="103"/>
      <c r="Y151" s="103"/>
      <c r="Z151" s="103"/>
      <c r="AB151" s="213">
        <f t="shared" si="5"/>
        <v>1000000</v>
      </c>
      <c r="AC151" s="264">
        <v>1</v>
      </c>
      <c r="AE151" s="276"/>
    </row>
    <row r="152" spans="1:33" s="84" customFormat="1" ht="28" x14ac:dyDescent="0.15">
      <c r="A152" s="36" t="s">
        <v>437</v>
      </c>
      <c r="B152" s="23"/>
      <c r="C152" s="23"/>
      <c r="D152" s="23"/>
      <c r="E152" s="23"/>
      <c r="F152" s="23"/>
      <c r="G152" s="23"/>
      <c r="H152" s="23"/>
      <c r="I152" s="23"/>
      <c r="J152" s="23"/>
      <c r="K152" s="23"/>
      <c r="L152" s="23"/>
      <c r="M152" s="23"/>
      <c r="N152" s="23"/>
      <c r="O152" s="23"/>
      <c r="P152" s="23"/>
      <c r="Q152" s="23"/>
      <c r="R152" s="23"/>
      <c r="S152" s="23"/>
      <c r="T152" s="23"/>
      <c r="U152" s="23"/>
      <c r="V152" s="23"/>
      <c r="W152" s="23"/>
      <c r="X152" s="76"/>
      <c r="Y152" s="92"/>
      <c r="Z152" s="161" t="s">
        <v>241</v>
      </c>
      <c r="AC152" s="258"/>
      <c r="AE152" s="261">
        <v>1</v>
      </c>
    </row>
    <row r="153" spans="1:33" s="84" customFormat="1" ht="72" customHeight="1" x14ac:dyDescent="0.15">
      <c r="A153" s="141" t="s">
        <v>343</v>
      </c>
      <c r="B153" s="80" t="s">
        <v>380</v>
      </c>
      <c r="C153" s="103"/>
      <c r="D153" s="82"/>
      <c r="E153" s="83"/>
      <c r="F153" s="83"/>
      <c r="G153" s="181" t="s">
        <v>156</v>
      </c>
      <c r="H153" s="82"/>
      <c r="I153" s="83"/>
      <c r="J153" s="83"/>
      <c r="K153" s="83"/>
      <c r="L153" s="82"/>
      <c r="M153" s="83"/>
      <c r="N153" s="83"/>
      <c r="O153" s="83"/>
      <c r="P153" s="82"/>
      <c r="Q153" s="181" t="s">
        <v>156</v>
      </c>
      <c r="R153" s="88"/>
      <c r="S153" s="181"/>
      <c r="T153" s="82"/>
      <c r="U153" s="25" t="s">
        <v>344</v>
      </c>
      <c r="V153" s="83"/>
      <c r="W153" s="172">
        <f>(7689.83332748945*1.15)+6482.05</f>
        <v>15325.358326612866</v>
      </c>
      <c r="X153" s="155"/>
      <c r="Y153" s="83"/>
      <c r="Z153" s="83"/>
      <c r="AB153" s="213">
        <f>W153*585</f>
        <v>8965334.6210685261</v>
      </c>
      <c r="AC153" s="258">
        <v>1</v>
      </c>
      <c r="AD153" s="234"/>
      <c r="AE153" s="261"/>
    </row>
    <row r="154" spans="1:33" s="84" customFormat="1" ht="89" customHeight="1" x14ac:dyDescent="0.15">
      <c r="A154" s="141" t="s">
        <v>216</v>
      </c>
      <c r="B154" s="80" t="s">
        <v>383</v>
      </c>
      <c r="C154" s="83"/>
      <c r="D154" s="82"/>
      <c r="E154" s="181" t="s">
        <v>156</v>
      </c>
      <c r="F154" s="83"/>
      <c r="G154" s="83"/>
      <c r="H154" s="82"/>
      <c r="I154" s="83"/>
      <c r="J154" s="83"/>
      <c r="K154" s="181" t="s">
        <v>156</v>
      </c>
      <c r="L154" s="82"/>
      <c r="M154" s="83"/>
      <c r="N154" s="83"/>
      <c r="O154" s="181" t="s">
        <v>156</v>
      </c>
      <c r="P154" s="82"/>
      <c r="Q154" s="88"/>
      <c r="R154" s="88"/>
      <c r="S154" s="181" t="s">
        <v>156</v>
      </c>
      <c r="T154" s="82"/>
      <c r="U154" s="25" t="s">
        <v>217</v>
      </c>
      <c r="V154" s="160"/>
      <c r="W154" s="172">
        <f>4855.04385195981*1.15</f>
        <v>5583.3004297537809</v>
      </c>
      <c r="X154" s="91"/>
      <c r="Y154" s="83"/>
      <c r="Z154" s="83"/>
      <c r="AB154" s="213">
        <f>W154*585</f>
        <v>3266230.7514059618</v>
      </c>
      <c r="AC154" s="258">
        <v>1</v>
      </c>
      <c r="AE154" s="261"/>
      <c r="AF154" s="222"/>
      <c r="AG154" s="204"/>
    </row>
    <row r="155" spans="1:33" s="84" customFormat="1" ht="28" x14ac:dyDescent="0.15">
      <c r="A155" s="36" t="s">
        <v>198</v>
      </c>
      <c r="B155" s="23"/>
      <c r="C155" s="23"/>
      <c r="D155" s="23"/>
      <c r="E155" s="23"/>
      <c r="F155" s="23"/>
      <c r="G155" s="23"/>
      <c r="H155" s="23"/>
      <c r="I155" s="23"/>
      <c r="J155" s="23"/>
      <c r="K155" s="23"/>
      <c r="L155" s="23"/>
      <c r="M155" s="23"/>
      <c r="N155" s="23"/>
      <c r="O155" s="23"/>
      <c r="P155" s="23"/>
      <c r="Q155" s="23"/>
      <c r="R155" s="23"/>
      <c r="S155" s="23"/>
      <c r="T155" s="23"/>
      <c r="U155" s="23"/>
      <c r="V155" s="23"/>
      <c r="W155" s="23"/>
      <c r="X155" s="76"/>
      <c r="Y155" s="92"/>
      <c r="Z155" s="24" t="s">
        <v>177</v>
      </c>
      <c r="AC155" s="258"/>
      <c r="AE155" s="261">
        <v>1</v>
      </c>
    </row>
    <row r="156" spans="1:33" s="84" customFormat="1" ht="52" customHeight="1" x14ac:dyDescent="0.15">
      <c r="A156" s="45" t="s">
        <v>326</v>
      </c>
      <c r="B156" s="79" t="s">
        <v>376</v>
      </c>
      <c r="C156" s="83"/>
      <c r="D156" s="82"/>
      <c r="E156" s="83"/>
      <c r="F156" s="181" t="s">
        <v>156</v>
      </c>
      <c r="G156" s="81"/>
      <c r="H156" s="94"/>
      <c r="I156" s="81"/>
      <c r="J156" s="83"/>
      <c r="K156" s="83"/>
      <c r="L156" s="82"/>
      <c r="M156" s="144" t="s">
        <v>156</v>
      </c>
      <c r="N156" s="81"/>
      <c r="O156" s="83"/>
      <c r="P156" s="82"/>
      <c r="Q156" s="83"/>
      <c r="R156" s="83"/>
      <c r="S156" s="83"/>
      <c r="T156" s="82"/>
      <c r="U156" s="25" t="s">
        <v>327</v>
      </c>
      <c r="V156" s="91"/>
      <c r="W156" s="172">
        <v>3371.7948717948716</v>
      </c>
      <c r="X156" s="155"/>
      <c r="Y156" s="83"/>
      <c r="Z156" s="83"/>
      <c r="AB156" s="213">
        <f>W156*585</f>
        <v>1972500</v>
      </c>
      <c r="AC156" s="258">
        <v>1</v>
      </c>
      <c r="AE156" s="261"/>
    </row>
    <row r="157" spans="1:33" s="84" customFormat="1" ht="56" x14ac:dyDescent="0.15">
      <c r="A157" s="25" t="s">
        <v>328</v>
      </c>
      <c r="B157" s="79" t="s">
        <v>376</v>
      </c>
      <c r="C157" s="83"/>
      <c r="D157" s="82"/>
      <c r="E157" s="83"/>
      <c r="F157" s="81"/>
      <c r="G157" s="144"/>
      <c r="H157" s="94"/>
      <c r="I157" s="81"/>
      <c r="J157" s="83"/>
      <c r="K157" s="83"/>
      <c r="L157" s="82"/>
      <c r="M157" s="81"/>
      <c r="N157" s="181" t="s">
        <v>156</v>
      </c>
      <c r="O157" s="83"/>
      <c r="P157" s="82"/>
      <c r="Q157" s="83"/>
      <c r="R157" s="83"/>
      <c r="S157" s="83"/>
      <c r="T157" s="82"/>
      <c r="U157" s="25" t="s">
        <v>331</v>
      </c>
      <c r="V157" s="91"/>
      <c r="W157" s="172">
        <f>6816.40869752133*1.15</f>
        <v>7838.8700021495297</v>
      </c>
      <c r="X157" s="155"/>
      <c r="Y157" s="83"/>
      <c r="Z157" s="83"/>
      <c r="AB157" s="213">
        <f>W157*585</f>
        <v>4585738.9512574747</v>
      </c>
      <c r="AC157" s="258">
        <v>1</v>
      </c>
      <c r="AE157" s="261"/>
    </row>
    <row r="158" spans="1:33" s="84" customFormat="1" ht="72" customHeight="1" x14ac:dyDescent="0.15">
      <c r="A158" s="25" t="s">
        <v>329</v>
      </c>
      <c r="B158" s="79" t="s">
        <v>381</v>
      </c>
      <c r="C158" s="83"/>
      <c r="D158" s="82"/>
      <c r="E158" s="181" t="s">
        <v>156</v>
      </c>
      <c r="F158" s="181" t="s">
        <v>156</v>
      </c>
      <c r="G158" s="144"/>
      <c r="H158" s="94"/>
      <c r="I158" s="81"/>
      <c r="J158" s="83"/>
      <c r="K158" s="83"/>
      <c r="L158" s="82"/>
      <c r="M158" s="181" t="s">
        <v>156</v>
      </c>
      <c r="N158" s="181" t="s">
        <v>156</v>
      </c>
      <c r="O158" s="83"/>
      <c r="P158" s="82"/>
      <c r="Q158" s="83"/>
      <c r="R158" s="83"/>
      <c r="S158" s="83"/>
      <c r="T158" s="82"/>
      <c r="U158" s="25" t="s">
        <v>330</v>
      </c>
      <c r="V158" s="91"/>
      <c r="W158" s="172">
        <v>16854.700854700855</v>
      </c>
      <c r="X158" s="155"/>
      <c r="Y158" s="83"/>
      <c r="Z158" s="83"/>
      <c r="AB158" s="213">
        <f>W158*585</f>
        <v>9860000</v>
      </c>
      <c r="AC158" s="258">
        <v>1</v>
      </c>
      <c r="AE158" s="261"/>
    </row>
    <row r="159" spans="1:33" s="84" customFormat="1" ht="28" x14ac:dyDescent="0.15">
      <c r="A159" s="36" t="s">
        <v>441</v>
      </c>
      <c r="B159" s="23"/>
      <c r="C159" s="23"/>
      <c r="D159" s="23"/>
      <c r="E159" s="23"/>
      <c r="F159" s="23"/>
      <c r="G159" s="23"/>
      <c r="H159" s="23"/>
      <c r="I159" s="23"/>
      <c r="J159" s="23"/>
      <c r="K159" s="23"/>
      <c r="L159" s="23"/>
      <c r="M159" s="23"/>
      <c r="N159" s="23"/>
      <c r="O159" s="23"/>
      <c r="P159" s="23"/>
      <c r="Q159" s="23"/>
      <c r="R159" s="23"/>
      <c r="S159" s="23"/>
      <c r="T159" s="23"/>
      <c r="U159" s="23"/>
      <c r="V159" s="23"/>
      <c r="W159" s="23"/>
      <c r="X159" s="76"/>
      <c r="Y159" s="92"/>
      <c r="Z159" s="161" t="s">
        <v>242</v>
      </c>
      <c r="AB159" s="217"/>
      <c r="AC159" s="264"/>
      <c r="AE159" s="261">
        <v>1</v>
      </c>
    </row>
    <row r="160" spans="1:33" s="84" customFormat="1" ht="102" customHeight="1" x14ac:dyDescent="0.15">
      <c r="A160" s="25" t="s">
        <v>345</v>
      </c>
      <c r="B160" s="25" t="s">
        <v>431</v>
      </c>
      <c r="C160" s="83"/>
      <c r="D160" s="82"/>
      <c r="E160" s="83"/>
      <c r="F160" s="181" t="s">
        <v>156</v>
      </c>
      <c r="G160" s="81"/>
      <c r="H160" s="94"/>
      <c r="I160" s="81"/>
      <c r="J160" s="181" t="s">
        <v>156</v>
      </c>
      <c r="K160" s="81"/>
      <c r="L160" s="94"/>
      <c r="M160" s="81"/>
      <c r="N160" s="181" t="s">
        <v>156</v>
      </c>
      <c r="O160" s="81"/>
      <c r="P160" s="94"/>
      <c r="Q160" s="181" t="s">
        <v>156</v>
      </c>
      <c r="R160" s="81"/>
      <c r="S160" s="81"/>
      <c r="T160" s="105"/>
      <c r="U160" s="25" t="s">
        <v>346</v>
      </c>
      <c r="V160" s="88"/>
      <c r="W160" s="172">
        <f>(23233.2302269813*1.15)+1761</f>
        <v>28479.214761028496</v>
      </c>
      <c r="X160" s="157"/>
      <c r="Y160" s="81"/>
      <c r="Z160" s="86"/>
      <c r="AB160" s="213">
        <f>W160*585</f>
        <v>16660340.63520167</v>
      </c>
      <c r="AC160" s="258">
        <v>1</v>
      </c>
      <c r="AE160" s="261"/>
    </row>
    <row r="161" spans="1:225" s="84" customFormat="1" ht="73" customHeight="1" x14ac:dyDescent="0.15">
      <c r="A161" s="25" t="s">
        <v>445</v>
      </c>
      <c r="B161" s="79" t="s">
        <v>446</v>
      </c>
      <c r="C161" s="83"/>
      <c r="D161" s="82"/>
      <c r="E161" s="83"/>
      <c r="F161" s="181"/>
      <c r="G161" s="81"/>
      <c r="H161" s="94"/>
      <c r="I161" s="81"/>
      <c r="J161" s="181"/>
      <c r="K161" s="81"/>
      <c r="L161" s="94"/>
      <c r="M161" s="181" t="s">
        <v>156</v>
      </c>
      <c r="N161" s="181"/>
      <c r="O161" s="81"/>
      <c r="P161" s="94"/>
      <c r="Q161" s="181"/>
      <c r="R161" s="81"/>
      <c r="S161" s="81"/>
      <c r="T161" s="105"/>
      <c r="U161" s="25" t="s">
        <v>442</v>
      </c>
      <c r="V161" s="170" t="s">
        <v>470</v>
      </c>
      <c r="W161" s="172">
        <v>6837.6068376068379</v>
      </c>
      <c r="X161" s="157"/>
      <c r="Y161" s="81"/>
      <c r="Z161" s="86"/>
      <c r="AB161" s="213">
        <f>W161*585</f>
        <v>4000000</v>
      </c>
      <c r="AC161" s="258">
        <v>1</v>
      </c>
      <c r="AE161" s="261"/>
    </row>
    <row r="162" spans="1:225" s="84" customFormat="1" ht="66" customHeight="1" x14ac:dyDescent="0.15">
      <c r="A162" s="25" t="s">
        <v>447</v>
      </c>
      <c r="B162" s="79" t="s">
        <v>448</v>
      </c>
      <c r="C162" s="83"/>
      <c r="D162" s="82"/>
      <c r="E162" s="83"/>
      <c r="F162" s="181"/>
      <c r="G162" s="81"/>
      <c r="H162" s="94"/>
      <c r="I162" s="181" t="s">
        <v>156</v>
      </c>
      <c r="J162" s="181"/>
      <c r="K162" s="81"/>
      <c r="L162" s="94"/>
      <c r="M162" s="81"/>
      <c r="N162" s="181"/>
      <c r="O162" s="81"/>
      <c r="P162" s="94"/>
      <c r="Q162" s="181"/>
      <c r="R162" s="81"/>
      <c r="S162" s="81"/>
      <c r="T162" s="105"/>
      <c r="U162" s="25" t="s">
        <v>449</v>
      </c>
      <c r="V162" s="170" t="s">
        <v>470</v>
      </c>
      <c r="W162" s="172">
        <v>6837.6068376068379</v>
      </c>
      <c r="X162" s="157"/>
      <c r="Y162" s="81"/>
      <c r="Z162" s="86"/>
      <c r="AB162" s="213">
        <f>W162*585</f>
        <v>4000000</v>
      </c>
      <c r="AC162" s="258">
        <v>1</v>
      </c>
      <c r="AE162" s="261"/>
    </row>
    <row r="163" spans="1:225" s="84" customFormat="1" ht="28" x14ac:dyDescent="0.15">
      <c r="A163" s="36" t="s">
        <v>430</v>
      </c>
      <c r="B163" s="23"/>
      <c r="C163" s="23"/>
      <c r="D163" s="23"/>
      <c r="E163" s="23"/>
      <c r="F163" s="23"/>
      <c r="G163" s="23"/>
      <c r="H163" s="23"/>
      <c r="I163" s="23"/>
      <c r="J163" s="23"/>
      <c r="K163" s="23"/>
      <c r="L163" s="23"/>
      <c r="M163" s="23"/>
      <c r="N163" s="23"/>
      <c r="O163" s="23"/>
      <c r="P163" s="23"/>
      <c r="Q163" s="23"/>
      <c r="R163" s="23"/>
      <c r="S163" s="23"/>
      <c r="T163" s="23"/>
      <c r="U163" s="23"/>
      <c r="V163" s="23"/>
      <c r="W163" s="23"/>
      <c r="X163" s="76"/>
      <c r="Y163" s="92"/>
      <c r="Z163" s="161" t="s">
        <v>242</v>
      </c>
      <c r="AB163" s="217"/>
      <c r="AC163" s="258"/>
      <c r="AE163" s="261">
        <v>1</v>
      </c>
    </row>
    <row r="164" spans="1:225" s="84" customFormat="1" ht="89" customHeight="1" x14ac:dyDescent="0.15">
      <c r="A164" s="25" t="s">
        <v>432</v>
      </c>
      <c r="B164" s="25" t="s">
        <v>434</v>
      </c>
      <c r="C164" s="83"/>
      <c r="D164" s="82"/>
      <c r="E164" s="83"/>
      <c r="F164" s="181" t="s">
        <v>156</v>
      </c>
      <c r="G164" s="181" t="s">
        <v>156</v>
      </c>
      <c r="H164" s="94"/>
      <c r="I164" s="181" t="s">
        <v>156</v>
      </c>
      <c r="J164" s="181" t="s">
        <v>156</v>
      </c>
      <c r="K164" s="181" t="s">
        <v>156</v>
      </c>
      <c r="L164" s="94"/>
      <c r="M164" s="181" t="s">
        <v>156</v>
      </c>
      <c r="N164" s="181" t="s">
        <v>156</v>
      </c>
      <c r="O164" s="181" t="s">
        <v>156</v>
      </c>
      <c r="P164" s="94"/>
      <c r="Q164" s="181" t="s">
        <v>156</v>
      </c>
      <c r="R164" s="181" t="s">
        <v>156</v>
      </c>
      <c r="S164" s="181" t="s">
        <v>156</v>
      </c>
      <c r="T164" s="105"/>
      <c r="U164" s="25" t="s">
        <v>435</v>
      </c>
      <c r="V164" s="88"/>
      <c r="W164" s="172"/>
      <c r="X164" s="157"/>
      <c r="Y164" s="172">
        <v>111111.11111111111</v>
      </c>
      <c r="Z164" s="86"/>
      <c r="AB164" s="213">
        <f>Y164*585</f>
        <v>65000000</v>
      </c>
      <c r="AC164" s="258">
        <v>1</v>
      </c>
      <c r="AE164" s="261"/>
    </row>
    <row r="165" spans="1:225" s="84" customFormat="1" ht="42" x14ac:dyDescent="0.15">
      <c r="A165" s="36" t="s">
        <v>428</v>
      </c>
      <c r="B165" s="23"/>
      <c r="C165" s="23"/>
      <c r="D165" s="23"/>
      <c r="E165" s="23"/>
      <c r="F165" s="23"/>
      <c r="G165" s="23"/>
      <c r="H165" s="23"/>
      <c r="I165" s="23"/>
      <c r="J165" s="23"/>
      <c r="K165" s="23"/>
      <c r="L165" s="23"/>
      <c r="M165" s="23"/>
      <c r="N165" s="23"/>
      <c r="O165" s="23"/>
      <c r="P165" s="23"/>
      <c r="Q165" s="23"/>
      <c r="R165" s="23"/>
      <c r="S165" s="23"/>
      <c r="T165" s="23"/>
      <c r="U165" s="23"/>
      <c r="V165" s="23"/>
      <c r="W165" s="23"/>
      <c r="X165" s="76"/>
      <c r="Y165" s="92"/>
      <c r="Z165" s="161" t="s">
        <v>139</v>
      </c>
      <c r="AB165" s="217"/>
      <c r="AC165" s="258"/>
      <c r="AE165" s="261">
        <v>1</v>
      </c>
    </row>
    <row r="166" spans="1:225" s="87" customFormat="1" ht="56" x14ac:dyDescent="0.15">
      <c r="A166" s="140" t="s">
        <v>222</v>
      </c>
      <c r="B166" s="25" t="s">
        <v>223</v>
      </c>
      <c r="C166" s="91"/>
      <c r="D166" s="85"/>
      <c r="E166" s="86"/>
      <c r="F166" s="181" t="s">
        <v>156</v>
      </c>
      <c r="G166" s="181" t="s">
        <v>156</v>
      </c>
      <c r="H166" s="85"/>
      <c r="J166" s="144"/>
      <c r="K166" s="144"/>
      <c r="L166" s="94"/>
      <c r="M166" s="144"/>
      <c r="N166" s="81"/>
      <c r="O166" s="86"/>
      <c r="P166" s="85"/>
      <c r="Q166" s="86"/>
      <c r="R166" s="86"/>
      <c r="S166" s="86"/>
      <c r="T166" s="85"/>
      <c r="U166" s="57" t="s">
        <v>218</v>
      </c>
      <c r="V166" s="25" t="s">
        <v>469</v>
      </c>
      <c r="W166" s="172">
        <f>13720.35*1.15</f>
        <v>15778.402499999998</v>
      </c>
      <c r="X166" s="155"/>
      <c r="Y166" s="86"/>
      <c r="Z166" s="86"/>
      <c r="AA166" s="130"/>
      <c r="AB166" s="227">
        <f t="shared" ref="AB166:AB171" si="6">W166*585</f>
        <v>9230365.4624999985</v>
      </c>
      <c r="AC166" s="258">
        <v>1</v>
      </c>
      <c r="AD166" s="131"/>
      <c r="AE166" s="277"/>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row>
    <row r="167" spans="1:225" s="84" customFormat="1" ht="56" x14ac:dyDescent="0.15">
      <c r="A167" s="140" t="s">
        <v>225</v>
      </c>
      <c r="B167" s="25" t="s">
        <v>308</v>
      </c>
      <c r="C167" s="164"/>
      <c r="D167" s="119"/>
      <c r="E167" s="118"/>
      <c r="F167" s="118"/>
      <c r="G167" s="181" t="s">
        <v>156</v>
      </c>
      <c r="H167" s="119"/>
      <c r="I167" s="118"/>
      <c r="J167" s="144"/>
      <c r="K167" s="83"/>
      <c r="L167" s="119"/>
      <c r="M167" s="118"/>
      <c r="N167" s="118"/>
      <c r="O167" s="118"/>
      <c r="P167" s="119"/>
      <c r="Q167" s="165"/>
      <c r="R167" s="166"/>
      <c r="S167" s="166"/>
      <c r="T167" s="119"/>
      <c r="U167" s="152" t="s">
        <v>226</v>
      </c>
      <c r="V167" s="25" t="s">
        <v>469</v>
      </c>
      <c r="W167" s="172">
        <f>8287*1.15</f>
        <v>9530.0499999999993</v>
      </c>
      <c r="X167" s="167"/>
      <c r="Y167" s="118"/>
      <c r="Z167" s="118"/>
      <c r="AA167" s="131"/>
      <c r="AB167" s="227">
        <f t="shared" si="6"/>
        <v>5575079.25</v>
      </c>
      <c r="AC167" s="258">
        <v>1</v>
      </c>
      <c r="AD167" s="131"/>
      <c r="AE167" s="277"/>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BE167" s="131"/>
      <c r="BF167" s="131"/>
      <c r="BG167" s="131"/>
      <c r="BH167" s="131"/>
    </row>
    <row r="168" spans="1:225" s="98" customFormat="1" ht="67" customHeight="1" x14ac:dyDescent="0.15">
      <c r="A168" s="250" t="s">
        <v>332</v>
      </c>
      <c r="B168" s="45" t="s">
        <v>79</v>
      </c>
      <c r="C168" s="197"/>
      <c r="D168" s="119"/>
      <c r="E168" s="198"/>
      <c r="F168" s="198"/>
      <c r="G168" s="199"/>
      <c r="H168" s="119"/>
      <c r="I168" s="181" t="s">
        <v>156</v>
      </c>
      <c r="J168" s="181" t="s">
        <v>156</v>
      </c>
      <c r="K168" s="181" t="s">
        <v>156</v>
      </c>
      <c r="L168" s="119"/>
      <c r="M168" s="198"/>
      <c r="N168" s="198"/>
      <c r="O168" s="198"/>
      <c r="P168" s="119"/>
      <c r="Q168" s="200"/>
      <c r="R168" s="201"/>
      <c r="S168" s="201"/>
      <c r="T168" s="119"/>
      <c r="U168" s="202" t="s">
        <v>269</v>
      </c>
      <c r="V168" s="45"/>
      <c r="W168" s="172">
        <f>20000000/585</f>
        <v>34188.034188034188</v>
      </c>
      <c r="X168" s="203"/>
      <c r="Y168" s="198"/>
      <c r="Z168" s="198"/>
      <c r="AA168" s="131"/>
      <c r="AB168" s="227">
        <f t="shared" si="6"/>
        <v>20000000</v>
      </c>
      <c r="AC168" s="258">
        <v>1</v>
      </c>
      <c r="AD168" s="131"/>
      <c r="AE168" s="277"/>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BE168" s="131"/>
      <c r="BF168" s="131"/>
      <c r="BG168" s="131"/>
      <c r="BH168" s="131"/>
    </row>
    <row r="169" spans="1:225" s="84" customFormat="1" ht="42" x14ac:dyDescent="0.15">
      <c r="A169" s="255" t="s">
        <v>227</v>
      </c>
      <c r="B169" s="226" t="s">
        <v>340</v>
      </c>
      <c r="C169" s="151"/>
      <c r="D169" s="119"/>
      <c r="E169" s="118"/>
      <c r="F169" s="118"/>
      <c r="G169" s="181" t="s">
        <v>156</v>
      </c>
      <c r="H169" s="119"/>
      <c r="I169" s="144"/>
      <c r="J169" s="144"/>
      <c r="K169" s="144"/>
      <c r="L169" s="119"/>
      <c r="M169" s="118"/>
      <c r="N169" s="118"/>
      <c r="O169" s="118"/>
      <c r="P169" s="119"/>
      <c r="Q169" s="120"/>
      <c r="R169" s="118"/>
      <c r="S169" s="118"/>
      <c r="T169" s="119"/>
      <c r="U169" s="202" t="s">
        <v>270</v>
      </c>
      <c r="V169" s="25" t="s">
        <v>469</v>
      </c>
      <c r="W169" s="172">
        <f>7088.85*1.15</f>
        <v>8152.1774999999998</v>
      </c>
      <c r="X169" s="118"/>
      <c r="Y169" s="118"/>
      <c r="Z169" s="118"/>
      <c r="AB169" s="227">
        <f t="shared" si="6"/>
        <v>4769023.8374999994</v>
      </c>
      <c r="AC169" s="264">
        <v>1</v>
      </c>
      <c r="AE169" s="261"/>
    </row>
    <row r="170" spans="1:225" s="84" customFormat="1" ht="42" x14ac:dyDescent="0.15">
      <c r="A170" s="250" t="s">
        <v>475</v>
      </c>
      <c r="B170" s="25" t="s">
        <v>455</v>
      </c>
      <c r="C170" s="248"/>
      <c r="D170" s="249"/>
      <c r="E170" s="248"/>
      <c r="F170" s="118"/>
      <c r="G170" s="181"/>
      <c r="H170" s="249"/>
      <c r="I170" s="181" t="s">
        <v>156</v>
      </c>
      <c r="J170" s="181"/>
      <c r="K170" s="118"/>
      <c r="L170" s="249"/>
      <c r="M170" s="83"/>
      <c r="N170" s="83"/>
      <c r="O170" s="83"/>
      <c r="P170" s="249"/>
      <c r="Q170" s="86"/>
      <c r="R170" s="83"/>
      <c r="S170" s="83"/>
      <c r="T170" s="249"/>
      <c r="U170" s="45"/>
      <c r="V170" s="245"/>
      <c r="W170" s="172">
        <v>15384.615384615385</v>
      </c>
      <c r="X170" s="118"/>
      <c r="Y170" s="118"/>
      <c r="Z170" s="118"/>
      <c r="AB170" s="227">
        <f t="shared" si="6"/>
        <v>9000000</v>
      </c>
      <c r="AC170" s="264">
        <v>1</v>
      </c>
      <c r="AE170" s="261"/>
    </row>
    <row r="171" spans="1:225" s="84" customFormat="1" ht="56" x14ac:dyDescent="0.15">
      <c r="A171" s="145" t="s">
        <v>476</v>
      </c>
      <c r="B171" s="25" t="s">
        <v>459</v>
      </c>
      <c r="C171" s="248"/>
      <c r="D171" s="249"/>
      <c r="E171" s="248"/>
      <c r="F171" s="118"/>
      <c r="G171" s="181"/>
      <c r="H171" s="249"/>
      <c r="I171" s="181" t="s">
        <v>156</v>
      </c>
      <c r="J171" s="181" t="s">
        <v>156</v>
      </c>
      <c r="K171" s="118"/>
      <c r="L171" s="249"/>
      <c r="M171" s="83"/>
      <c r="N171" s="83"/>
      <c r="O171" s="83"/>
      <c r="P171" s="249"/>
      <c r="Q171" s="86"/>
      <c r="R171" s="83"/>
      <c r="S171" s="83"/>
      <c r="T171" s="249"/>
      <c r="U171" s="25" t="s">
        <v>463</v>
      </c>
      <c r="V171" s="25" t="s">
        <v>470</v>
      </c>
      <c r="W171" s="172">
        <v>17094.017094017094</v>
      </c>
      <c r="X171" s="118"/>
      <c r="Y171" s="118"/>
      <c r="Z171" s="118"/>
      <c r="AB171" s="227">
        <f t="shared" si="6"/>
        <v>10000000</v>
      </c>
      <c r="AC171" s="258">
        <v>1</v>
      </c>
      <c r="AE171" s="261"/>
    </row>
    <row r="172" spans="1:225" s="84" customFormat="1" ht="30" customHeight="1" x14ac:dyDescent="0.15">
      <c r="A172" s="36" t="s">
        <v>429</v>
      </c>
      <c r="B172" s="23"/>
      <c r="C172" s="23"/>
      <c r="D172" s="23"/>
      <c r="E172" s="23"/>
      <c r="F172" s="23"/>
      <c r="G172" s="23"/>
      <c r="H172" s="23"/>
      <c r="I172" s="23"/>
      <c r="J172" s="23"/>
      <c r="K172" s="23"/>
      <c r="L172" s="23"/>
      <c r="M172" s="23"/>
      <c r="N172" s="23"/>
      <c r="O172" s="23"/>
      <c r="P172" s="23"/>
      <c r="Q172" s="23"/>
      <c r="R172" s="23"/>
      <c r="S172" s="23"/>
      <c r="T172" s="23"/>
      <c r="U172" s="23"/>
      <c r="V172" s="23"/>
      <c r="W172" s="23"/>
      <c r="X172" s="76"/>
      <c r="Y172" s="92"/>
      <c r="Z172" s="93"/>
      <c r="AA172" s="128"/>
      <c r="AB172" s="129"/>
      <c r="AC172" s="258"/>
      <c r="AD172" s="129"/>
      <c r="AE172" s="278">
        <v>1</v>
      </c>
      <c r="AF172" s="129"/>
      <c r="AG172" s="129"/>
      <c r="AH172" s="129"/>
      <c r="AI172" s="129"/>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129"/>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29"/>
      <c r="DJ172" s="129"/>
      <c r="DK172" s="129"/>
      <c r="DL172" s="129"/>
      <c r="DM172" s="129"/>
      <c r="DN172" s="129"/>
      <c r="DO172" s="129"/>
      <c r="DP172" s="129"/>
      <c r="DQ172" s="129"/>
      <c r="DR172" s="129"/>
      <c r="DS172" s="129"/>
      <c r="DT172" s="129"/>
      <c r="DU172" s="129"/>
      <c r="DV172" s="129"/>
      <c r="DW172" s="129"/>
      <c r="DX172" s="129"/>
      <c r="DY172" s="129"/>
      <c r="DZ172" s="129"/>
      <c r="EA172" s="129"/>
      <c r="EB172" s="129"/>
      <c r="EC172" s="129"/>
      <c r="ED172" s="129"/>
      <c r="EE172" s="129"/>
      <c r="EF172" s="129"/>
      <c r="EG172" s="129"/>
      <c r="EH172" s="129"/>
      <c r="EI172" s="129"/>
      <c r="EJ172" s="129"/>
      <c r="EK172" s="129"/>
      <c r="EL172" s="129"/>
      <c r="EM172" s="129"/>
      <c r="EN172" s="129"/>
      <c r="EO172" s="129"/>
      <c r="EP172" s="129"/>
      <c r="EQ172" s="129"/>
      <c r="ER172" s="129"/>
      <c r="ES172" s="129"/>
      <c r="ET172" s="129"/>
      <c r="EU172" s="129"/>
      <c r="EV172" s="129"/>
      <c r="EW172" s="129"/>
      <c r="EX172" s="129"/>
      <c r="EY172" s="129"/>
      <c r="EZ172" s="129"/>
      <c r="FA172" s="129"/>
      <c r="FB172" s="129"/>
      <c r="FC172" s="129"/>
      <c r="FD172" s="129"/>
      <c r="FE172" s="129"/>
      <c r="FF172" s="129"/>
      <c r="FG172" s="129"/>
      <c r="FH172" s="129"/>
      <c r="FI172" s="129"/>
      <c r="FJ172" s="129"/>
      <c r="FK172" s="129"/>
      <c r="FL172" s="129"/>
      <c r="FM172" s="129"/>
      <c r="FN172" s="129"/>
      <c r="FO172" s="129"/>
      <c r="FP172" s="129"/>
      <c r="FQ172" s="129"/>
      <c r="FR172" s="129"/>
      <c r="FS172" s="129"/>
      <c r="FT172" s="129"/>
      <c r="FU172" s="129"/>
      <c r="FV172" s="129"/>
      <c r="FW172" s="129"/>
      <c r="FX172" s="129"/>
      <c r="FY172" s="129"/>
      <c r="FZ172" s="129"/>
      <c r="GA172" s="129"/>
      <c r="GB172" s="129"/>
      <c r="GC172" s="129"/>
      <c r="GD172" s="129"/>
      <c r="GE172" s="129"/>
      <c r="GF172" s="129"/>
      <c r="GG172" s="129"/>
      <c r="GH172" s="129"/>
      <c r="GI172" s="129"/>
      <c r="GJ172" s="129"/>
      <c r="GK172" s="129"/>
      <c r="GL172" s="129"/>
      <c r="GM172" s="129"/>
      <c r="GN172" s="129"/>
      <c r="GO172" s="129"/>
      <c r="GP172" s="129"/>
      <c r="GQ172" s="129"/>
      <c r="GR172" s="129"/>
      <c r="GS172" s="129"/>
      <c r="GT172" s="129"/>
      <c r="GU172" s="129"/>
      <c r="GV172" s="129"/>
      <c r="GW172" s="129"/>
      <c r="GX172" s="129"/>
      <c r="GY172" s="129"/>
      <c r="GZ172" s="129"/>
      <c r="HA172" s="129"/>
      <c r="HB172" s="129"/>
      <c r="HC172" s="129"/>
      <c r="HD172" s="129"/>
      <c r="HE172" s="129"/>
      <c r="HF172" s="129"/>
      <c r="HG172" s="129"/>
      <c r="HH172" s="129"/>
      <c r="HI172" s="129"/>
      <c r="HJ172" s="129"/>
      <c r="HK172" s="129"/>
      <c r="HL172" s="129"/>
      <c r="HM172" s="129"/>
      <c r="HN172" s="129"/>
      <c r="HO172" s="129"/>
      <c r="HP172" s="129"/>
      <c r="HQ172" s="129"/>
    </row>
    <row r="173" spans="1:225" s="103" customFormat="1" ht="42" x14ac:dyDescent="0.15">
      <c r="A173" s="252" t="s">
        <v>427</v>
      </c>
      <c r="B173" s="226" t="s">
        <v>340</v>
      </c>
      <c r="D173" s="121"/>
      <c r="E173" s="144"/>
      <c r="F173" s="144"/>
      <c r="G173" s="144" t="s">
        <v>156</v>
      </c>
      <c r="H173" s="121"/>
      <c r="I173" s="144"/>
      <c r="J173" s="144"/>
      <c r="L173" s="121"/>
      <c r="P173" s="121"/>
      <c r="T173" s="121"/>
      <c r="U173" s="146" t="s">
        <v>219</v>
      </c>
      <c r="V173" s="150" t="s">
        <v>467</v>
      </c>
      <c r="W173" s="182">
        <v>35047.008547008547</v>
      </c>
      <c r="X173" s="158"/>
      <c r="AA173" s="130"/>
      <c r="AB173" s="227">
        <f>W173*585</f>
        <v>20502500</v>
      </c>
      <c r="AC173" s="264">
        <v>1</v>
      </c>
      <c r="AD173" s="131"/>
      <c r="AE173" s="277"/>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c r="BW173" s="131"/>
      <c r="BX173" s="131"/>
      <c r="BY173" s="131"/>
      <c r="BZ173" s="131"/>
      <c r="CA173" s="131"/>
      <c r="CB173" s="131"/>
      <c r="CC173" s="131"/>
      <c r="CD173" s="131"/>
      <c r="CE173" s="131"/>
      <c r="CF173" s="131"/>
      <c r="CG173" s="131"/>
      <c r="CH173" s="131"/>
      <c r="CI173" s="131"/>
      <c r="CJ173" s="131"/>
      <c r="CK173" s="131"/>
      <c r="CL173" s="131"/>
      <c r="CM173" s="131"/>
      <c r="CN173" s="131"/>
      <c r="CO173" s="131"/>
      <c r="CP173" s="131"/>
      <c r="CQ173" s="131"/>
      <c r="CR173" s="131"/>
      <c r="CS173" s="131"/>
      <c r="CT173" s="131"/>
      <c r="CU173" s="131"/>
      <c r="CV173" s="131"/>
      <c r="CW173" s="131"/>
      <c r="CX173" s="131"/>
      <c r="CY173" s="131"/>
      <c r="CZ173" s="131"/>
      <c r="DA173" s="131"/>
      <c r="DB173" s="131"/>
      <c r="DC173" s="131"/>
      <c r="DD173" s="131"/>
      <c r="DE173" s="131"/>
      <c r="DF173" s="131"/>
      <c r="DG173" s="131"/>
      <c r="DH173" s="131"/>
      <c r="DI173" s="131"/>
      <c r="DJ173" s="131"/>
      <c r="DK173" s="131"/>
      <c r="DL173" s="131"/>
      <c r="DM173" s="131"/>
      <c r="DN173" s="131"/>
      <c r="DO173" s="131"/>
      <c r="DP173" s="131"/>
      <c r="DQ173" s="131"/>
      <c r="DR173" s="131"/>
      <c r="DS173" s="131"/>
      <c r="DT173" s="131"/>
      <c r="DU173" s="131"/>
      <c r="DV173" s="131"/>
      <c r="DW173" s="131"/>
      <c r="DX173" s="131"/>
      <c r="DY173" s="131"/>
      <c r="DZ173" s="131"/>
      <c r="EA173" s="131"/>
      <c r="EB173" s="131"/>
      <c r="EC173" s="131"/>
      <c r="ED173" s="131"/>
      <c r="EE173" s="131"/>
      <c r="EF173" s="131"/>
      <c r="EG173" s="131"/>
      <c r="EH173" s="131"/>
      <c r="EI173" s="131"/>
      <c r="EJ173" s="131"/>
      <c r="EK173" s="131"/>
      <c r="EL173" s="131"/>
      <c r="EM173" s="131"/>
      <c r="EN173" s="131"/>
      <c r="EO173" s="131"/>
      <c r="EP173" s="131"/>
      <c r="EQ173" s="131"/>
      <c r="ER173" s="131"/>
      <c r="ES173" s="131"/>
      <c r="ET173" s="131"/>
      <c r="EU173" s="131"/>
      <c r="EV173" s="131"/>
      <c r="EW173" s="131"/>
      <c r="EX173" s="131"/>
      <c r="EY173" s="131"/>
      <c r="EZ173" s="131"/>
      <c r="FA173" s="131"/>
      <c r="FB173" s="131"/>
      <c r="FC173" s="131"/>
      <c r="FD173" s="131"/>
      <c r="FE173" s="131"/>
      <c r="FF173" s="131"/>
      <c r="FG173" s="131"/>
      <c r="FH173" s="131"/>
      <c r="FI173" s="131"/>
      <c r="FJ173" s="131"/>
      <c r="FK173" s="131"/>
      <c r="FL173" s="131"/>
      <c r="FM173" s="131"/>
      <c r="FN173" s="131"/>
      <c r="FO173" s="131"/>
      <c r="FP173" s="131"/>
      <c r="FQ173" s="131"/>
      <c r="FR173" s="131"/>
      <c r="FS173" s="131"/>
      <c r="FT173" s="131"/>
      <c r="FU173" s="131"/>
      <c r="FV173" s="131"/>
      <c r="FW173" s="131"/>
      <c r="FX173" s="131"/>
      <c r="FY173" s="131"/>
      <c r="FZ173" s="131"/>
      <c r="GA173" s="131"/>
      <c r="GB173" s="131"/>
      <c r="GC173" s="131"/>
      <c r="GD173" s="131"/>
      <c r="GE173" s="131"/>
      <c r="GF173" s="131"/>
      <c r="GG173" s="131"/>
      <c r="GH173" s="131"/>
      <c r="GI173" s="131"/>
      <c r="GJ173" s="131"/>
      <c r="GK173" s="131"/>
      <c r="GL173" s="131"/>
      <c r="GM173" s="131"/>
      <c r="GN173" s="131"/>
      <c r="GO173" s="131"/>
      <c r="GP173" s="131"/>
      <c r="GQ173" s="131"/>
      <c r="GR173" s="131"/>
      <c r="GS173" s="131"/>
      <c r="GT173" s="131"/>
      <c r="GU173" s="131"/>
      <c r="GV173" s="131"/>
      <c r="GW173" s="131"/>
      <c r="GX173" s="131"/>
      <c r="GY173" s="131"/>
      <c r="GZ173" s="131"/>
      <c r="HA173" s="131"/>
      <c r="HB173" s="131"/>
      <c r="HC173" s="131"/>
      <c r="HD173" s="131"/>
      <c r="HE173" s="131"/>
      <c r="HF173" s="131"/>
      <c r="HG173" s="131"/>
      <c r="HH173" s="131"/>
      <c r="HI173" s="131"/>
      <c r="HJ173" s="131"/>
      <c r="HK173" s="131"/>
      <c r="HL173" s="131"/>
      <c r="HM173" s="131"/>
      <c r="HN173" s="131"/>
      <c r="HO173" s="131"/>
      <c r="HP173" s="131"/>
      <c r="HQ173" s="131"/>
    </row>
    <row r="174" spans="1:225" s="103" customFormat="1" ht="56" x14ac:dyDescent="0.15">
      <c r="A174" s="145" t="s">
        <v>228</v>
      </c>
      <c r="B174" s="25" t="s">
        <v>443</v>
      </c>
      <c r="D174" s="121"/>
      <c r="F174" s="181" t="s">
        <v>156</v>
      </c>
      <c r="G174" s="181"/>
      <c r="H174" s="121"/>
      <c r="J174" s="144"/>
      <c r="L174" s="121"/>
      <c r="P174" s="121"/>
      <c r="T174" s="121"/>
      <c r="U174" s="145" t="s">
        <v>220</v>
      </c>
      <c r="V174" s="150" t="s">
        <v>467</v>
      </c>
      <c r="W174" s="182">
        <f>30000</f>
        <v>30000</v>
      </c>
      <c r="AA174" s="130"/>
      <c r="AB174" s="227">
        <f>W174*585</f>
        <v>17550000</v>
      </c>
      <c r="AC174" s="258">
        <v>1</v>
      </c>
      <c r="AD174" s="131"/>
      <c r="AE174" s="277"/>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J174" s="131"/>
      <c r="CK174" s="131"/>
      <c r="CL174" s="131"/>
      <c r="CM174" s="131"/>
      <c r="CN174" s="131"/>
      <c r="CO174" s="131"/>
      <c r="CP174" s="131"/>
      <c r="CQ174" s="131"/>
      <c r="CR174" s="131"/>
      <c r="CS174" s="131"/>
      <c r="CT174" s="131"/>
      <c r="CU174" s="131"/>
      <c r="CV174" s="131"/>
      <c r="CW174" s="131"/>
      <c r="CX174" s="131"/>
      <c r="CY174" s="131"/>
      <c r="CZ174" s="131"/>
      <c r="DA174" s="131"/>
      <c r="DB174" s="131"/>
      <c r="DC174" s="131"/>
      <c r="DD174" s="131"/>
      <c r="DE174" s="131"/>
      <c r="DF174" s="131"/>
      <c r="DG174" s="131"/>
      <c r="DH174" s="131"/>
      <c r="DI174" s="131"/>
      <c r="DJ174" s="131"/>
      <c r="DK174" s="131"/>
      <c r="DL174" s="131"/>
      <c r="DM174" s="131"/>
      <c r="DN174" s="131"/>
      <c r="DO174" s="131"/>
      <c r="DP174" s="131"/>
      <c r="DQ174" s="131"/>
      <c r="DR174" s="131"/>
      <c r="DS174" s="131"/>
      <c r="DT174" s="131"/>
      <c r="DU174" s="131"/>
      <c r="DV174" s="131"/>
      <c r="DW174" s="131"/>
      <c r="DX174" s="131"/>
      <c r="DY174" s="131"/>
      <c r="DZ174" s="131"/>
      <c r="EA174" s="131"/>
      <c r="EB174" s="131"/>
      <c r="EC174" s="131"/>
      <c r="ED174" s="131"/>
      <c r="EE174" s="131"/>
      <c r="EF174" s="131"/>
      <c r="EG174" s="131"/>
      <c r="EH174" s="131"/>
      <c r="EI174" s="131"/>
      <c r="EJ174" s="131"/>
      <c r="EK174" s="131"/>
      <c r="EL174" s="131"/>
      <c r="EM174" s="131"/>
      <c r="EN174" s="131"/>
      <c r="EO174" s="131"/>
      <c r="EP174" s="131"/>
      <c r="EQ174" s="131"/>
      <c r="ER174" s="131"/>
      <c r="ES174" s="131"/>
      <c r="ET174" s="131"/>
      <c r="EU174" s="131"/>
      <c r="EV174" s="131"/>
      <c r="EW174" s="131"/>
      <c r="EX174" s="131"/>
      <c r="EY174" s="131"/>
      <c r="EZ174" s="131"/>
      <c r="FA174" s="131"/>
      <c r="FB174" s="131"/>
      <c r="FC174" s="131"/>
      <c r="FD174" s="131"/>
      <c r="FE174" s="131"/>
      <c r="FF174" s="131"/>
      <c r="FG174" s="131"/>
      <c r="FH174" s="131"/>
      <c r="FI174" s="131"/>
      <c r="FJ174" s="131"/>
      <c r="FK174" s="131"/>
      <c r="FL174" s="131"/>
      <c r="FM174" s="131"/>
      <c r="FN174" s="131"/>
      <c r="FO174" s="131"/>
      <c r="FP174" s="131"/>
      <c r="FQ174" s="131"/>
      <c r="FR174" s="131"/>
      <c r="FS174" s="131"/>
      <c r="FT174" s="131"/>
      <c r="FU174" s="131"/>
      <c r="FV174" s="131"/>
      <c r="FW174" s="131"/>
      <c r="FX174" s="131"/>
      <c r="FY174" s="131"/>
      <c r="FZ174" s="131"/>
      <c r="GA174" s="131"/>
      <c r="GB174" s="131"/>
      <c r="GC174" s="131"/>
      <c r="GD174" s="131"/>
      <c r="GE174" s="131"/>
      <c r="GF174" s="131"/>
      <c r="GG174" s="131"/>
      <c r="GH174" s="131"/>
      <c r="GI174" s="131"/>
      <c r="GJ174" s="131"/>
      <c r="GK174" s="131"/>
      <c r="GL174" s="131"/>
      <c r="GM174" s="131"/>
      <c r="GN174" s="131"/>
      <c r="GO174" s="131"/>
      <c r="GP174" s="131"/>
      <c r="GQ174" s="131"/>
      <c r="GR174" s="131"/>
      <c r="GS174" s="131"/>
      <c r="GT174" s="131"/>
      <c r="GU174" s="131"/>
      <c r="GV174" s="131"/>
      <c r="GW174" s="131"/>
      <c r="GX174" s="131"/>
      <c r="GY174" s="131"/>
      <c r="GZ174" s="131"/>
      <c r="HA174" s="131"/>
      <c r="HB174" s="131"/>
      <c r="HC174" s="131"/>
      <c r="HD174" s="131"/>
      <c r="HE174" s="131"/>
      <c r="HF174" s="131"/>
      <c r="HG174" s="131"/>
      <c r="HH174" s="131"/>
      <c r="HI174" s="131"/>
      <c r="HJ174" s="131"/>
      <c r="HK174" s="131"/>
      <c r="HL174" s="131"/>
      <c r="HM174" s="131"/>
      <c r="HN174" s="131"/>
      <c r="HO174" s="131"/>
      <c r="HP174" s="131"/>
      <c r="HQ174" s="131"/>
    </row>
    <row r="175" spans="1:225" s="103" customFormat="1" ht="42" x14ac:dyDescent="0.15">
      <c r="A175" s="145" t="s">
        <v>229</v>
      </c>
      <c r="B175" s="25" t="s">
        <v>230</v>
      </c>
      <c r="D175" s="121"/>
      <c r="F175" s="181" t="s">
        <v>156</v>
      </c>
      <c r="G175" s="181" t="s">
        <v>156</v>
      </c>
      <c r="H175" s="121"/>
      <c r="J175" s="144"/>
      <c r="K175" s="144"/>
      <c r="L175" s="121"/>
      <c r="P175" s="121"/>
      <c r="T175" s="121"/>
      <c r="U175" s="145" t="s">
        <v>221</v>
      </c>
      <c r="V175" s="150" t="s">
        <v>467</v>
      </c>
      <c r="W175" s="182">
        <f>3572.49026994147*1.15</f>
        <v>4108.3638104326901</v>
      </c>
      <c r="AA175" s="130"/>
      <c r="AB175" s="227">
        <f>W175*585</f>
        <v>2403392.8291031239</v>
      </c>
      <c r="AC175" s="258">
        <v>1</v>
      </c>
      <c r="AD175" s="131"/>
      <c r="AE175" s="277"/>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131"/>
      <c r="BA175" s="131"/>
      <c r="BB175" s="131"/>
      <c r="BC175" s="131"/>
      <c r="BD175" s="131"/>
      <c r="BE175" s="131"/>
      <c r="BF175" s="131"/>
      <c r="BG175" s="131"/>
      <c r="BH175" s="131"/>
      <c r="BI175" s="131"/>
      <c r="BJ175" s="131"/>
      <c r="BK175" s="131"/>
      <c r="BL175" s="131"/>
      <c r="BM175" s="131"/>
      <c r="BN175" s="131"/>
      <c r="BO175" s="131"/>
      <c r="BP175" s="131"/>
      <c r="BQ175" s="131"/>
      <c r="BR175" s="131"/>
      <c r="BS175" s="131"/>
      <c r="BT175" s="131"/>
      <c r="BU175" s="131"/>
      <c r="BV175" s="131"/>
      <c r="BW175" s="131"/>
      <c r="BX175" s="131"/>
      <c r="BY175" s="131"/>
      <c r="BZ175" s="131"/>
      <c r="CA175" s="131"/>
      <c r="CB175" s="131"/>
      <c r="CC175" s="131"/>
      <c r="CD175" s="131"/>
      <c r="CE175" s="131"/>
      <c r="CF175" s="131"/>
      <c r="CG175" s="131"/>
      <c r="CH175" s="131"/>
      <c r="CI175" s="131"/>
      <c r="CJ175" s="131"/>
      <c r="CK175" s="131"/>
      <c r="CL175" s="131"/>
      <c r="CM175" s="131"/>
      <c r="CN175" s="131"/>
      <c r="CO175" s="131"/>
      <c r="CP175" s="131"/>
      <c r="CQ175" s="131"/>
      <c r="CR175" s="131"/>
      <c r="CS175" s="131"/>
      <c r="CT175" s="131"/>
      <c r="CU175" s="131"/>
      <c r="CV175" s="131"/>
      <c r="CW175" s="131"/>
      <c r="CX175" s="131"/>
      <c r="CY175" s="131"/>
      <c r="CZ175" s="131"/>
      <c r="DA175" s="131"/>
      <c r="DB175" s="131"/>
      <c r="DC175" s="131"/>
      <c r="DD175" s="131"/>
      <c r="DE175" s="131"/>
      <c r="DF175" s="131"/>
      <c r="DG175" s="131"/>
      <c r="DH175" s="131"/>
      <c r="DI175" s="131"/>
      <c r="DJ175" s="131"/>
      <c r="DK175" s="131"/>
      <c r="DL175" s="131"/>
      <c r="DM175" s="131"/>
      <c r="DN175" s="131"/>
      <c r="DO175" s="131"/>
      <c r="DP175" s="131"/>
      <c r="DQ175" s="131"/>
      <c r="DR175" s="131"/>
      <c r="DS175" s="131"/>
      <c r="DT175" s="131"/>
      <c r="DU175" s="131"/>
      <c r="DV175" s="131"/>
      <c r="DW175" s="131"/>
      <c r="DX175" s="131"/>
      <c r="DY175" s="131"/>
      <c r="DZ175" s="131"/>
      <c r="EA175" s="131"/>
      <c r="EB175" s="131"/>
      <c r="EC175" s="131"/>
      <c r="ED175" s="131"/>
      <c r="EE175" s="131"/>
      <c r="EF175" s="131"/>
      <c r="EG175" s="131"/>
      <c r="EH175" s="131"/>
      <c r="EI175" s="131"/>
      <c r="EJ175" s="131"/>
      <c r="EK175" s="131"/>
      <c r="EL175" s="131"/>
      <c r="EM175" s="131"/>
      <c r="EN175" s="131"/>
      <c r="EO175" s="131"/>
      <c r="EP175" s="131"/>
      <c r="EQ175" s="131"/>
      <c r="ER175" s="131"/>
      <c r="ES175" s="131"/>
      <c r="ET175" s="131"/>
      <c r="EU175" s="131"/>
      <c r="EV175" s="131"/>
      <c r="EW175" s="131"/>
      <c r="EX175" s="131"/>
      <c r="EY175" s="131"/>
      <c r="EZ175" s="131"/>
      <c r="FA175" s="131"/>
      <c r="FB175" s="131"/>
      <c r="FC175" s="131"/>
      <c r="FD175" s="131"/>
      <c r="FE175" s="131"/>
      <c r="FF175" s="131"/>
      <c r="FG175" s="131"/>
      <c r="FH175" s="131"/>
      <c r="FI175" s="131"/>
      <c r="FJ175" s="131"/>
      <c r="FK175" s="131"/>
      <c r="FL175" s="131"/>
      <c r="FM175" s="131"/>
      <c r="FN175" s="131"/>
      <c r="FO175" s="131"/>
      <c r="FP175" s="131"/>
      <c r="FQ175" s="131"/>
      <c r="FR175" s="131"/>
      <c r="FS175" s="131"/>
      <c r="FT175" s="131"/>
      <c r="FU175" s="131"/>
      <c r="FV175" s="131"/>
      <c r="FW175" s="131"/>
      <c r="FX175" s="131"/>
      <c r="FY175" s="131"/>
      <c r="FZ175" s="131"/>
      <c r="GA175" s="131"/>
      <c r="GB175" s="131"/>
      <c r="GC175" s="131"/>
      <c r="GD175" s="131"/>
      <c r="GE175" s="131"/>
      <c r="GF175" s="131"/>
      <c r="GG175" s="131"/>
      <c r="GH175" s="131"/>
      <c r="GI175" s="131"/>
      <c r="GJ175" s="131"/>
      <c r="GK175" s="131"/>
      <c r="GL175" s="131"/>
      <c r="GM175" s="131"/>
      <c r="GN175" s="131"/>
      <c r="GO175" s="131"/>
      <c r="GP175" s="131"/>
      <c r="GQ175" s="131"/>
      <c r="GR175" s="131"/>
      <c r="GS175" s="131"/>
      <c r="GT175" s="131"/>
      <c r="GU175" s="131"/>
      <c r="GV175" s="131"/>
      <c r="GW175" s="131"/>
      <c r="GX175" s="131"/>
      <c r="GY175" s="131"/>
      <c r="GZ175" s="131"/>
      <c r="HA175" s="131"/>
      <c r="HB175" s="131"/>
      <c r="HC175" s="131"/>
      <c r="HD175" s="131"/>
      <c r="HE175" s="131"/>
      <c r="HF175" s="131"/>
      <c r="HG175" s="131"/>
      <c r="HH175" s="131"/>
      <c r="HI175" s="131"/>
      <c r="HJ175" s="131"/>
      <c r="HK175" s="131"/>
      <c r="HL175" s="131"/>
      <c r="HM175" s="131"/>
      <c r="HN175" s="131"/>
      <c r="HO175" s="131"/>
      <c r="HP175" s="131"/>
      <c r="HQ175" s="131"/>
    </row>
    <row r="176" spans="1:225" s="103" customFormat="1" ht="56" x14ac:dyDescent="0.15">
      <c r="A176" s="145" t="s">
        <v>471</v>
      </c>
      <c r="B176" s="45" t="s">
        <v>472</v>
      </c>
      <c r="D176" s="121"/>
      <c r="F176" s="181"/>
      <c r="G176" s="181"/>
      <c r="H176" s="121"/>
      <c r="J176" s="144"/>
      <c r="K176" s="144"/>
      <c r="L176" s="121"/>
      <c r="M176" s="181" t="s">
        <v>156</v>
      </c>
      <c r="P176" s="121"/>
      <c r="T176" s="121"/>
      <c r="U176" s="25" t="s">
        <v>473</v>
      </c>
      <c r="V176" s="25" t="s">
        <v>470</v>
      </c>
      <c r="W176" s="172">
        <v>17094.017094017094</v>
      </c>
      <c r="AA176" s="130"/>
      <c r="AB176" s="227">
        <f>W176*585</f>
        <v>10000000</v>
      </c>
      <c r="AC176" s="258">
        <v>1</v>
      </c>
      <c r="AD176" s="131"/>
      <c r="AE176" s="277"/>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31"/>
      <c r="BC176" s="131"/>
      <c r="BD176" s="131"/>
      <c r="BE176" s="131"/>
      <c r="BF176" s="131"/>
      <c r="BG176" s="131"/>
      <c r="BH176" s="131"/>
      <c r="BI176" s="131"/>
      <c r="BJ176" s="131"/>
      <c r="BK176" s="131"/>
      <c r="BL176" s="131"/>
      <c r="BM176" s="131"/>
      <c r="BN176" s="131"/>
      <c r="BO176" s="131"/>
      <c r="BP176" s="131"/>
      <c r="BQ176" s="131"/>
      <c r="BR176" s="131"/>
      <c r="BS176" s="131"/>
      <c r="BT176" s="131"/>
      <c r="BU176" s="131"/>
      <c r="BV176" s="131"/>
      <c r="BW176" s="131"/>
      <c r="BX176" s="131"/>
      <c r="BY176" s="131"/>
      <c r="BZ176" s="131"/>
      <c r="CA176" s="131"/>
      <c r="CB176" s="131"/>
      <c r="CC176" s="131"/>
      <c r="CD176" s="131"/>
      <c r="CE176" s="131"/>
      <c r="CF176" s="131"/>
      <c r="CG176" s="131"/>
      <c r="CH176" s="131"/>
      <c r="CI176" s="131"/>
      <c r="CJ176" s="131"/>
      <c r="CK176" s="131"/>
      <c r="CL176" s="131"/>
      <c r="CM176" s="131"/>
      <c r="CN176" s="131"/>
      <c r="CO176" s="131"/>
      <c r="CP176" s="131"/>
      <c r="CQ176" s="131"/>
      <c r="CR176" s="131"/>
      <c r="CS176" s="131"/>
      <c r="CT176" s="131"/>
      <c r="CU176" s="131"/>
      <c r="CV176" s="131"/>
      <c r="CW176" s="131"/>
      <c r="CX176" s="131"/>
      <c r="CY176" s="131"/>
      <c r="CZ176" s="131"/>
      <c r="DA176" s="131"/>
      <c r="DB176" s="131"/>
      <c r="DC176" s="131"/>
      <c r="DD176" s="131"/>
      <c r="DE176" s="131"/>
      <c r="DF176" s="131"/>
      <c r="DG176" s="131"/>
      <c r="DH176" s="131"/>
      <c r="DI176" s="131"/>
      <c r="DJ176" s="131"/>
      <c r="DK176" s="131"/>
      <c r="DL176" s="131"/>
      <c r="DM176" s="131"/>
      <c r="DN176" s="131"/>
      <c r="DO176" s="131"/>
      <c r="DP176" s="131"/>
      <c r="DQ176" s="131"/>
      <c r="DR176" s="131"/>
      <c r="DS176" s="131"/>
      <c r="DT176" s="131"/>
      <c r="DU176" s="131"/>
      <c r="DV176" s="131"/>
      <c r="DW176" s="131"/>
      <c r="DX176" s="131"/>
      <c r="DY176" s="131"/>
      <c r="DZ176" s="131"/>
      <c r="EA176" s="131"/>
      <c r="EB176" s="131"/>
      <c r="EC176" s="131"/>
      <c r="ED176" s="131"/>
      <c r="EE176" s="131"/>
      <c r="EF176" s="131"/>
      <c r="EG176" s="131"/>
      <c r="EH176" s="131"/>
      <c r="EI176" s="131"/>
      <c r="EJ176" s="131"/>
      <c r="EK176" s="131"/>
      <c r="EL176" s="131"/>
      <c r="EM176" s="131"/>
      <c r="EN176" s="131"/>
      <c r="EO176" s="131"/>
      <c r="EP176" s="131"/>
      <c r="EQ176" s="131"/>
      <c r="ER176" s="131"/>
      <c r="ES176" s="131"/>
      <c r="ET176" s="131"/>
      <c r="EU176" s="131"/>
      <c r="EV176" s="131"/>
      <c r="EW176" s="131"/>
      <c r="EX176" s="131"/>
      <c r="EY176" s="131"/>
      <c r="EZ176" s="131"/>
      <c r="FA176" s="131"/>
      <c r="FB176" s="131"/>
      <c r="FC176" s="131"/>
      <c r="FD176" s="131"/>
      <c r="FE176" s="131"/>
      <c r="FF176" s="131"/>
      <c r="FG176" s="131"/>
      <c r="FH176" s="131"/>
      <c r="FI176" s="131"/>
      <c r="FJ176" s="131"/>
      <c r="FK176" s="131"/>
      <c r="FL176" s="131"/>
      <c r="FM176" s="131"/>
      <c r="FN176" s="131"/>
      <c r="FO176" s="131"/>
      <c r="FP176" s="131"/>
      <c r="FQ176" s="131"/>
      <c r="FR176" s="131"/>
      <c r="FS176" s="131"/>
      <c r="FT176" s="131"/>
      <c r="FU176" s="131"/>
      <c r="FV176" s="131"/>
      <c r="FW176" s="131"/>
      <c r="FX176" s="131"/>
      <c r="FY176" s="131"/>
      <c r="FZ176" s="131"/>
      <c r="GA176" s="131"/>
      <c r="GB176" s="131"/>
      <c r="GC176" s="131"/>
      <c r="GD176" s="131"/>
      <c r="GE176" s="131"/>
      <c r="GF176" s="131"/>
      <c r="GG176" s="131"/>
      <c r="GH176" s="131"/>
      <c r="GI176" s="131"/>
      <c r="GJ176" s="131"/>
      <c r="GK176" s="131"/>
      <c r="GL176" s="131"/>
      <c r="GM176" s="131"/>
      <c r="GN176" s="131"/>
      <c r="GO176" s="131"/>
      <c r="GP176" s="131"/>
      <c r="GQ176" s="131"/>
      <c r="GR176" s="131"/>
      <c r="GS176" s="131"/>
      <c r="GT176" s="131"/>
      <c r="GU176" s="131"/>
      <c r="GV176" s="131"/>
      <c r="GW176" s="131"/>
      <c r="GX176" s="131"/>
      <c r="GY176" s="131"/>
      <c r="GZ176" s="131"/>
      <c r="HA176" s="131"/>
      <c r="HB176" s="131"/>
      <c r="HC176" s="131"/>
      <c r="HD176" s="131"/>
      <c r="HE176" s="131"/>
      <c r="HF176" s="131"/>
      <c r="HG176" s="131"/>
      <c r="HH176" s="131"/>
      <c r="HI176" s="131"/>
      <c r="HJ176" s="131"/>
      <c r="HK176" s="131"/>
      <c r="HL176" s="131"/>
      <c r="HM176" s="131"/>
      <c r="HN176" s="131"/>
      <c r="HO176" s="131"/>
      <c r="HP176" s="131"/>
      <c r="HQ176" s="131"/>
    </row>
    <row r="177" spans="1:225" s="83" customFormat="1" ht="22" customHeight="1" x14ac:dyDescent="0.15">
      <c r="A177" s="36" t="s">
        <v>433</v>
      </c>
      <c r="B177" s="23"/>
      <c r="C177" s="23"/>
      <c r="D177" s="23"/>
      <c r="E177" s="23"/>
      <c r="F177" s="23"/>
      <c r="G177" s="23"/>
      <c r="H177" s="23"/>
      <c r="I177" s="23"/>
      <c r="J177" s="23"/>
      <c r="K177" s="23"/>
      <c r="L177" s="23"/>
      <c r="M177" s="23"/>
      <c r="N177" s="23"/>
      <c r="O177" s="23"/>
      <c r="P177" s="23"/>
      <c r="Q177" s="23"/>
      <c r="R177" s="23"/>
      <c r="S177" s="23"/>
      <c r="T177" s="23"/>
      <c r="U177" s="23"/>
      <c r="V177" s="23"/>
      <c r="W177" s="23"/>
      <c r="X177" s="92"/>
      <c r="Y177" s="92"/>
      <c r="Z177" s="93"/>
      <c r="AA177" s="128"/>
      <c r="AB177" s="129"/>
      <c r="AC177" s="258"/>
      <c r="AD177" s="129"/>
      <c r="AE177" s="278">
        <v>1</v>
      </c>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29"/>
      <c r="BW177" s="129"/>
      <c r="BX177" s="129"/>
      <c r="BY177" s="129"/>
      <c r="BZ177" s="129"/>
      <c r="CA177" s="129"/>
      <c r="CB177" s="129"/>
      <c r="CC177" s="129"/>
      <c r="CD177" s="129"/>
      <c r="CE177" s="129"/>
      <c r="CF177" s="129"/>
      <c r="CG177" s="129"/>
      <c r="CH177" s="129"/>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29"/>
      <c r="DF177" s="129"/>
      <c r="DG177" s="129"/>
      <c r="DH177" s="129"/>
      <c r="DI177" s="129"/>
      <c r="DJ177" s="129"/>
      <c r="DK177" s="129"/>
      <c r="DL177" s="129"/>
      <c r="DM177" s="129"/>
      <c r="DN177" s="129"/>
      <c r="DO177" s="129"/>
      <c r="DP177" s="129"/>
      <c r="DQ177" s="129"/>
      <c r="DR177" s="129"/>
      <c r="DS177" s="129"/>
      <c r="DT177" s="129"/>
      <c r="DU177" s="129"/>
      <c r="DV177" s="129"/>
      <c r="DW177" s="129"/>
      <c r="DX177" s="129"/>
      <c r="DY177" s="129"/>
      <c r="DZ177" s="129"/>
      <c r="EA177" s="129"/>
      <c r="EB177" s="129"/>
      <c r="EC177" s="129"/>
      <c r="ED177" s="129"/>
      <c r="EE177" s="129"/>
      <c r="EF177" s="129"/>
      <c r="EG177" s="129"/>
      <c r="EH177" s="129"/>
      <c r="EI177" s="129"/>
      <c r="EJ177" s="129"/>
      <c r="EK177" s="129"/>
      <c r="EL177" s="129"/>
      <c r="EM177" s="129"/>
      <c r="EN177" s="129"/>
      <c r="EO177" s="129"/>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129"/>
      <c r="GD177" s="129"/>
      <c r="GE177" s="129"/>
      <c r="GF177" s="129"/>
      <c r="GG177" s="129"/>
      <c r="GH177" s="129"/>
      <c r="GI177" s="129"/>
      <c r="GJ177" s="129"/>
      <c r="GK177" s="129"/>
      <c r="GL177" s="129"/>
      <c r="GM177" s="129"/>
      <c r="GN177" s="129"/>
      <c r="GO177" s="129"/>
      <c r="GP177" s="129"/>
      <c r="GQ177" s="129"/>
      <c r="GR177" s="129"/>
      <c r="GS177" s="129"/>
      <c r="GT177" s="129"/>
      <c r="GU177" s="129"/>
      <c r="GV177" s="129"/>
      <c r="GW177" s="129"/>
      <c r="GX177" s="129"/>
      <c r="GY177" s="129"/>
      <c r="GZ177" s="129"/>
      <c r="HA177" s="129"/>
      <c r="HB177" s="129"/>
      <c r="HC177" s="129"/>
      <c r="HD177" s="129"/>
      <c r="HE177" s="129"/>
      <c r="HF177" s="129"/>
      <c r="HG177" s="129"/>
      <c r="HH177" s="129"/>
      <c r="HI177" s="129"/>
      <c r="HJ177" s="129"/>
      <c r="HK177" s="129"/>
      <c r="HL177" s="129"/>
      <c r="HM177" s="129"/>
      <c r="HN177" s="129"/>
      <c r="HO177" s="129"/>
      <c r="HP177" s="129"/>
      <c r="HQ177" s="129"/>
    </row>
    <row r="178" spans="1:225" s="103" customFormat="1" ht="58" customHeight="1" x14ac:dyDescent="0.15">
      <c r="A178" s="145" t="s">
        <v>461</v>
      </c>
      <c r="B178" s="25" t="s">
        <v>436</v>
      </c>
      <c r="C178" s="123"/>
      <c r="D178" s="82"/>
      <c r="E178" s="123"/>
      <c r="F178" s="123"/>
      <c r="G178" s="123"/>
      <c r="H178" s="122"/>
      <c r="I178" s="181" t="s">
        <v>156</v>
      </c>
      <c r="J178" s="181" t="s">
        <v>156</v>
      </c>
      <c r="K178" s="181" t="s">
        <v>156</v>
      </c>
      <c r="L178" s="122"/>
      <c r="M178" s="123"/>
      <c r="N178" s="123"/>
      <c r="O178" s="123"/>
      <c r="P178" s="122"/>
      <c r="Q178" s="123"/>
      <c r="R178" s="123"/>
      <c r="S178" s="123"/>
      <c r="T178" s="122"/>
      <c r="U178" s="25" t="s">
        <v>462</v>
      </c>
      <c r="V178" s="25" t="s">
        <v>468</v>
      </c>
      <c r="W178" s="182">
        <v>20512.820512820512</v>
      </c>
      <c r="X178" s="123"/>
      <c r="Y178" s="123"/>
      <c r="Z178" s="124"/>
      <c r="AA178" s="168"/>
      <c r="AB178" s="227">
        <f>W178*585</f>
        <v>12000000</v>
      </c>
      <c r="AC178" s="258">
        <v>1</v>
      </c>
      <c r="AD178" s="131"/>
      <c r="AE178" s="277"/>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131"/>
      <c r="BA178" s="131"/>
      <c r="BB178" s="131"/>
      <c r="BC178" s="131"/>
      <c r="BD178" s="131"/>
      <c r="BE178" s="131"/>
      <c r="BF178" s="131"/>
      <c r="BG178" s="131"/>
      <c r="BH178" s="131"/>
      <c r="BI178" s="131"/>
      <c r="BJ178" s="131"/>
      <c r="BK178" s="131"/>
      <c r="BL178" s="131"/>
      <c r="BM178" s="131"/>
      <c r="BN178" s="131"/>
      <c r="BO178" s="131"/>
      <c r="BP178" s="131"/>
      <c r="BQ178" s="131"/>
      <c r="BR178" s="131"/>
      <c r="BS178" s="131"/>
      <c r="BT178" s="131"/>
      <c r="BU178" s="131"/>
      <c r="BV178" s="131"/>
      <c r="BW178" s="131"/>
      <c r="BX178" s="131"/>
      <c r="BY178" s="131"/>
      <c r="BZ178" s="131"/>
      <c r="CA178" s="131"/>
      <c r="CB178" s="131"/>
      <c r="CC178" s="131"/>
      <c r="CD178" s="131"/>
      <c r="CE178" s="131"/>
      <c r="CF178" s="131"/>
      <c r="CG178" s="131"/>
      <c r="CH178" s="131"/>
      <c r="CI178" s="131"/>
      <c r="CJ178" s="131"/>
      <c r="CK178" s="131"/>
      <c r="CL178" s="131"/>
      <c r="CM178" s="131"/>
      <c r="CN178" s="131"/>
      <c r="CO178" s="131"/>
      <c r="CP178" s="131"/>
      <c r="CQ178" s="131"/>
      <c r="CR178" s="131"/>
      <c r="CS178" s="131"/>
      <c r="CT178" s="131"/>
      <c r="CU178" s="131"/>
      <c r="CV178" s="131"/>
      <c r="CW178" s="131"/>
      <c r="CX178" s="131"/>
      <c r="CY178" s="131"/>
      <c r="CZ178" s="131"/>
      <c r="DA178" s="131"/>
      <c r="DB178" s="131"/>
      <c r="DC178" s="131"/>
      <c r="DD178" s="131"/>
      <c r="DE178" s="131"/>
      <c r="DF178" s="131"/>
      <c r="DG178" s="131"/>
      <c r="DH178" s="131"/>
      <c r="DI178" s="131"/>
      <c r="DJ178" s="131"/>
      <c r="DK178" s="131"/>
      <c r="DL178" s="131"/>
      <c r="DM178" s="131"/>
      <c r="DN178" s="131"/>
      <c r="DO178" s="131"/>
      <c r="DP178" s="131"/>
      <c r="DQ178" s="131"/>
      <c r="DR178" s="131"/>
      <c r="DS178" s="131"/>
      <c r="DT178" s="131"/>
      <c r="DU178" s="131"/>
      <c r="DV178" s="131"/>
      <c r="DW178" s="131"/>
      <c r="DX178" s="131"/>
      <c r="DY178" s="131"/>
      <c r="DZ178" s="131"/>
      <c r="EA178" s="131"/>
      <c r="EB178" s="131"/>
      <c r="EC178" s="131"/>
      <c r="ED178" s="131"/>
      <c r="EE178" s="131"/>
      <c r="EF178" s="131"/>
      <c r="EG178" s="131"/>
      <c r="EH178" s="131"/>
      <c r="EI178" s="131"/>
      <c r="EJ178" s="131"/>
      <c r="EK178" s="131"/>
      <c r="EL178" s="131"/>
      <c r="EM178" s="131"/>
      <c r="EN178" s="131"/>
      <c r="EO178" s="131"/>
      <c r="EP178" s="131"/>
      <c r="EQ178" s="131"/>
      <c r="ER178" s="131"/>
      <c r="ES178" s="131"/>
      <c r="ET178" s="131"/>
      <c r="EU178" s="131"/>
      <c r="EV178" s="131"/>
      <c r="EW178" s="131"/>
      <c r="EX178" s="131"/>
      <c r="EY178" s="131"/>
      <c r="EZ178" s="131"/>
      <c r="FA178" s="131"/>
      <c r="FB178" s="131"/>
      <c r="FC178" s="131"/>
      <c r="FD178" s="131"/>
      <c r="FE178" s="131"/>
      <c r="FF178" s="131"/>
      <c r="FG178" s="131"/>
      <c r="FH178" s="131"/>
      <c r="FI178" s="131"/>
      <c r="FJ178" s="131"/>
      <c r="FK178" s="131"/>
      <c r="FL178" s="131"/>
      <c r="FM178" s="131"/>
      <c r="FN178" s="131"/>
      <c r="FO178" s="131"/>
      <c r="FP178" s="131"/>
      <c r="FQ178" s="131"/>
      <c r="FR178" s="131"/>
      <c r="FS178" s="131"/>
      <c r="FT178" s="131"/>
      <c r="FU178" s="131"/>
      <c r="FV178" s="131"/>
      <c r="FW178" s="131"/>
      <c r="FX178" s="131"/>
      <c r="FY178" s="131"/>
      <c r="FZ178" s="131"/>
      <c r="GA178" s="131"/>
      <c r="GB178" s="131"/>
      <c r="GC178" s="131"/>
      <c r="GD178" s="131"/>
      <c r="GE178" s="131"/>
      <c r="GF178" s="131"/>
      <c r="GG178" s="131"/>
      <c r="GH178" s="131"/>
      <c r="GI178" s="131"/>
      <c r="GJ178" s="131"/>
      <c r="GK178" s="131"/>
      <c r="GL178" s="131"/>
      <c r="GM178" s="131"/>
      <c r="GN178" s="131"/>
      <c r="GO178" s="131"/>
      <c r="GP178" s="131"/>
      <c r="GQ178" s="131"/>
      <c r="GR178" s="131"/>
      <c r="GS178" s="131"/>
      <c r="GT178" s="131"/>
      <c r="GU178" s="131"/>
      <c r="GV178" s="131"/>
      <c r="GW178" s="131"/>
      <c r="GX178" s="131"/>
      <c r="GY178" s="131"/>
      <c r="GZ178" s="131"/>
      <c r="HA178" s="131"/>
      <c r="HB178" s="131"/>
      <c r="HC178" s="131"/>
      <c r="HD178" s="131"/>
      <c r="HE178" s="131"/>
      <c r="HF178" s="131"/>
      <c r="HG178" s="131"/>
      <c r="HH178" s="131"/>
      <c r="HI178" s="131"/>
      <c r="HJ178" s="131"/>
      <c r="HK178" s="131"/>
      <c r="HL178" s="131"/>
      <c r="HM178" s="131"/>
      <c r="HN178" s="131"/>
      <c r="HO178" s="131"/>
      <c r="HP178" s="131"/>
      <c r="HQ178" s="131"/>
    </row>
    <row r="179" spans="1:225" s="103" customFormat="1" ht="63" customHeight="1" x14ac:dyDescent="0.15">
      <c r="A179" s="58" t="s">
        <v>347</v>
      </c>
      <c r="B179" s="25" t="s">
        <v>436</v>
      </c>
      <c r="C179" s="123"/>
      <c r="D179" s="82"/>
      <c r="E179" s="123"/>
      <c r="F179" s="181" t="s">
        <v>156</v>
      </c>
      <c r="G179" s="181" t="s">
        <v>156</v>
      </c>
      <c r="H179" s="122"/>
      <c r="I179" s="181" t="s">
        <v>156</v>
      </c>
      <c r="J179" s="144"/>
      <c r="K179" s="123"/>
      <c r="L179" s="122"/>
      <c r="M179" s="123"/>
      <c r="N179" s="123"/>
      <c r="O179" s="123"/>
      <c r="P179" s="122"/>
      <c r="Q179" s="123"/>
      <c r="R179" s="123"/>
      <c r="S179" s="123"/>
      <c r="T179" s="122"/>
      <c r="U179" s="46" t="s">
        <v>333</v>
      </c>
      <c r="V179" s="150" t="s">
        <v>468</v>
      </c>
      <c r="W179" s="182">
        <v>3418.8034188034189</v>
      </c>
      <c r="X179" s="123"/>
      <c r="Y179" s="123"/>
      <c r="Z179" s="124"/>
      <c r="AA179" s="168"/>
      <c r="AB179" s="227">
        <f>W179*585</f>
        <v>2000000</v>
      </c>
      <c r="AC179" s="258">
        <v>1</v>
      </c>
      <c r="AD179" s="131"/>
      <c r="AE179" s="277"/>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131"/>
      <c r="DO179" s="131"/>
      <c r="DP179" s="131"/>
      <c r="DQ179" s="131"/>
      <c r="DR179" s="131"/>
      <c r="DS179" s="131"/>
      <c r="DT179" s="131"/>
      <c r="DU179" s="131"/>
      <c r="DV179" s="131"/>
      <c r="DW179" s="131"/>
      <c r="DX179" s="131"/>
      <c r="DY179" s="131"/>
      <c r="DZ179" s="131"/>
      <c r="EA179" s="131"/>
      <c r="EB179" s="131"/>
      <c r="EC179" s="131"/>
      <c r="ED179" s="131"/>
      <c r="EE179" s="131"/>
      <c r="EF179" s="131"/>
      <c r="EG179" s="131"/>
      <c r="EH179" s="131"/>
      <c r="EI179" s="131"/>
      <c r="EJ179" s="131"/>
      <c r="EK179" s="131"/>
      <c r="EL179" s="131"/>
      <c r="EM179" s="131"/>
      <c r="EN179" s="131"/>
      <c r="EO179" s="131"/>
      <c r="EP179" s="131"/>
      <c r="EQ179" s="131"/>
      <c r="ER179" s="131"/>
      <c r="ES179" s="131"/>
      <c r="ET179" s="131"/>
      <c r="EU179" s="131"/>
      <c r="EV179" s="131"/>
      <c r="EW179" s="131"/>
      <c r="EX179" s="131"/>
      <c r="EY179" s="131"/>
      <c r="EZ179" s="131"/>
      <c r="FA179" s="131"/>
      <c r="FB179" s="131"/>
      <c r="FC179" s="131"/>
      <c r="FD179" s="131"/>
      <c r="FE179" s="131"/>
      <c r="FF179" s="131"/>
      <c r="FG179" s="131"/>
      <c r="FH179" s="131"/>
      <c r="FI179" s="131"/>
      <c r="FJ179" s="131"/>
      <c r="FK179" s="131"/>
      <c r="FL179" s="131"/>
      <c r="FM179" s="131"/>
      <c r="FN179" s="131"/>
      <c r="FO179" s="131"/>
      <c r="FP179" s="131"/>
      <c r="FQ179" s="131"/>
      <c r="FR179" s="131"/>
      <c r="FS179" s="131"/>
      <c r="FT179" s="131"/>
      <c r="FU179" s="131"/>
      <c r="FV179" s="131"/>
      <c r="FW179" s="131"/>
      <c r="FX179" s="131"/>
      <c r="FY179" s="131"/>
      <c r="FZ179" s="131"/>
      <c r="GA179" s="131"/>
      <c r="GB179" s="131"/>
      <c r="GC179" s="131"/>
      <c r="GD179" s="131"/>
      <c r="GE179" s="131"/>
      <c r="GF179" s="131"/>
      <c r="GG179" s="131"/>
      <c r="GH179" s="131"/>
      <c r="GI179" s="131"/>
      <c r="GJ179" s="131"/>
      <c r="GK179" s="131"/>
      <c r="GL179" s="131"/>
      <c r="GM179" s="131"/>
      <c r="GN179" s="131"/>
      <c r="GO179" s="131"/>
      <c r="GP179" s="131"/>
      <c r="GQ179" s="131"/>
      <c r="GR179" s="131"/>
      <c r="GS179" s="131"/>
      <c r="GT179" s="131"/>
      <c r="GU179" s="131"/>
      <c r="GV179" s="131"/>
      <c r="GW179" s="131"/>
      <c r="GX179" s="131"/>
      <c r="GY179" s="131"/>
      <c r="GZ179" s="131"/>
      <c r="HA179" s="131"/>
      <c r="HB179" s="131"/>
      <c r="HC179" s="131"/>
      <c r="HD179" s="131"/>
      <c r="HE179" s="131"/>
      <c r="HF179" s="131"/>
      <c r="HG179" s="131"/>
      <c r="HH179" s="131"/>
      <c r="HI179" s="131"/>
      <c r="HJ179" s="131"/>
      <c r="HK179" s="131"/>
      <c r="HL179" s="131"/>
      <c r="HM179" s="131"/>
      <c r="HN179" s="131"/>
      <c r="HO179" s="131"/>
      <c r="HP179" s="131"/>
      <c r="HQ179" s="131"/>
    </row>
    <row r="180" spans="1:225" s="83" customFormat="1" ht="32" customHeight="1" x14ac:dyDescent="0.15">
      <c r="A180" s="36" t="s">
        <v>464</v>
      </c>
      <c r="B180" s="23"/>
      <c r="C180" s="23"/>
      <c r="D180" s="23"/>
      <c r="E180" s="23"/>
      <c r="F180" s="23"/>
      <c r="G180" s="23"/>
      <c r="H180" s="23"/>
      <c r="I180" s="23"/>
      <c r="J180" s="23"/>
      <c r="K180" s="23"/>
      <c r="L180" s="23"/>
      <c r="M180" s="23"/>
      <c r="N180" s="23"/>
      <c r="O180" s="23"/>
      <c r="P180" s="23"/>
      <c r="Q180" s="23"/>
      <c r="R180" s="23"/>
      <c r="S180" s="23"/>
      <c r="T180" s="23"/>
      <c r="U180" s="23"/>
      <c r="V180" s="23"/>
      <c r="W180" s="23"/>
      <c r="X180" s="92"/>
      <c r="Y180" s="92"/>
      <c r="Z180" s="93"/>
      <c r="AA180" s="128"/>
      <c r="AB180" s="129"/>
      <c r="AC180" s="264"/>
      <c r="AD180" s="129"/>
      <c r="AE180" s="278">
        <v>1</v>
      </c>
      <c r="AF180" s="129"/>
      <c r="AG180" s="129"/>
      <c r="AH180" s="129"/>
      <c r="AI180" s="129"/>
      <c r="AJ180" s="129"/>
      <c r="AK180" s="129"/>
      <c r="AL180" s="129"/>
      <c r="AM180" s="129"/>
      <c r="AN180" s="129"/>
      <c r="AO180" s="129"/>
      <c r="AP180" s="129"/>
      <c r="AQ180" s="129"/>
      <c r="AR180" s="129"/>
      <c r="AS180" s="129"/>
      <c r="AT180" s="129"/>
      <c r="AU180" s="129"/>
      <c r="AV180" s="129"/>
      <c r="AW180" s="129"/>
      <c r="AX180" s="129"/>
      <c r="AY180" s="129"/>
      <c r="AZ180" s="129"/>
      <c r="BA180" s="129"/>
      <c r="BB180" s="129"/>
      <c r="BC180" s="129"/>
      <c r="BD180" s="129"/>
      <c r="BE180" s="129"/>
      <c r="BF180" s="129"/>
      <c r="BG180" s="129"/>
      <c r="BH180" s="129"/>
      <c r="BI180" s="129"/>
      <c r="BJ180" s="129"/>
      <c r="BK180" s="129"/>
      <c r="BL180" s="129"/>
      <c r="BM180" s="129"/>
      <c r="BN180" s="129"/>
      <c r="BO180" s="129"/>
      <c r="BP180" s="129"/>
      <c r="BQ180" s="129"/>
      <c r="BR180" s="129"/>
      <c r="BS180" s="129"/>
      <c r="BT180" s="129"/>
      <c r="BU180" s="129"/>
      <c r="BV180" s="129"/>
      <c r="BW180" s="129"/>
      <c r="BX180" s="129"/>
      <c r="BY180" s="129"/>
      <c r="BZ180" s="129"/>
      <c r="CA180" s="129"/>
      <c r="CB180" s="129"/>
      <c r="CC180" s="129"/>
      <c r="CD180" s="129"/>
      <c r="CE180" s="129"/>
      <c r="CF180" s="129"/>
      <c r="CG180" s="129"/>
      <c r="CH180" s="129"/>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29"/>
      <c r="DF180" s="129"/>
      <c r="DG180" s="129"/>
      <c r="DH180" s="129"/>
      <c r="DI180" s="129"/>
      <c r="DJ180" s="129"/>
      <c r="DK180" s="129"/>
      <c r="DL180" s="129"/>
      <c r="DM180" s="129"/>
      <c r="DN180" s="129"/>
      <c r="DO180" s="129"/>
      <c r="DP180" s="129"/>
      <c r="DQ180" s="129"/>
      <c r="DR180" s="129"/>
      <c r="DS180" s="129"/>
      <c r="DT180" s="129"/>
      <c r="DU180" s="129"/>
      <c r="DV180" s="129"/>
      <c r="DW180" s="129"/>
      <c r="DX180" s="129"/>
      <c r="DY180" s="129"/>
      <c r="DZ180" s="129"/>
      <c r="EA180" s="129"/>
      <c r="EB180" s="129"/>
      <c r="EC180" s="129"/>
      <c r="ED180" s="129"/>
      <c r="EE180" s="129"/>
      <c r="EF180" s="129"/>
      <c r="EG180" s="129"/>
      <c r="EH180" s="129"/>
      <c r="EI180" s="129"/>
      <c r="EJ180" s="129"/>
      <c r="EK180" s="129"/>
      <c r="EL180" s="129"/>
      <c r="EM180" s="129"/>
      <c r="EN180" s="129"/>
      <c r="EO180" s="129"/>
      <c r="EP180" s="129"/>
      <c r="EQ180" s="129"/>
      <c r="ER180" s="129"/>
      <c r="ES180" s="129"/>
      <c r="ET180" s="129"/>
      <c r="EU180" s="129"/>
      <c r="EV180" s="129"/>
      <c r="EW180" s="129"/>
      <c r="EX180" s="129"/>
      <c r="EY180" s="129"/>
      <c r="EZ180" s="129"/>
      <c r="FA180" s="129"/>
      <c r="FB180" s="129"/>
      <c r="FC180" s="129"/>
      <c r="FD180" s="129"/>
      <c r="FE180" s="129"/>
      <c r="FF180" s="129"/>
      <c r="FG180" s="129"/>
      <c r="FH180" s="129"/>
      <c r="FI180" s="129"/>
      <c r="FJ180" s="129"/>
      <c r="FK180" s="129"/>
      <c r="FL180" s="129"/>
      <c r="FM180" s="129"/>
      <c r="FN180" s="129"/>
      <c r="FO180" s="129"/>
      <c r="FP180" s="129"/>
      <c r="FQ180" s="129"/>
      <c r="FR180" s="129"/>
      <c r="FS180" s="129"/>
      <c r="FT180" s="129"/>
      <c r="FU180" s="129"/>
      <c r="FV180" s="129"/>
      <c r="FW180" s="129"/>
      <c r="FX180" s="129"/>
      <c r="FY180" s="129"/>
      <c r="FZ180" s="129"/>
      <c r="GA180" s="129"/>
      <c r="GB180" s="129"/>
      <c r="GC180" s="129"/>
      <c r="GD180" s="129"/>
      <c r="GE180" s="129"/>
      <c r="GF180" s="129"/>
      <c r="GG180" s="129"/>
      <c r="GH180" s="129"/>
      <c r="GI180" s="129"/>
      <c r="GJ180" s="129"/>
      <c r="GK180" s="129"/>
      <c r="GL180" s="129"/>
      <c r="GM180" s="129"/>
      <c r="GN180" s="129"/>
      <c r="GO180" s="129"/>
      <c r="GP180" s="129"/>
      <c r="GQ180" s="129"/>
      <c r="GR180" s="129"/>
      <c r="GS180" s="129"/>
      <c r="GT180" s="129"/>
      <c r="GU180" s="129"/>
      <c r="GV180" s="129"/>
      <c r="GW180" s="129"/>
      <c r="GX180" s="129"/>
      <c r="GY180" s="129"/>
      <c r="GZ180" s="129"/>
      <c r="HA180" s="129"/>
      <c r="HB180" s="129"/>
      <c r="HC180" s="129"/>
      <c r="HD180" s="129"/>
      <c r="HE180" s="129"/>
      <c r="HF180" s="129"/>
      <c r="HG180" s="129"/>
      <c r="HH180" s="129"/>
      <c r="HI180" s="129"/>
      <c r="HJ180" s="129"/>
      <c r="HK180" s="129"/>
      <c r="HL180" s="129"/>
      <c r="HM180" s="129"/>
      <c r="HN180" s="129"/>
      <c r="HO180" s="129"/>
      <c r="HP180" s="129"/>
      <c r="HQ180" s="129"/>
    </row>
    <row r="181" spans="1:225" s="103" customFormat="1" ht="65" customHeight="1" x14ac:dyDescent="0.15">
      <c r="A181" s="58" t="s">
        <v>349</v>
      </c>
      <c r="B181" s="46" t="s">
        <v>382</v>
      </c>
      <c r="C181" s="123"/>
      <c r="D181" s="82"/>
      <c r="E181" s="123"/>
      <c r="F181" s="123"/>
      <c r="G181" s="123"/>
      <c r="H181" s="122"/>
      <c r="I181" s="181" t="s">
        <v>156</v>
      </c>
      <c r="J181" s="181" t="s">
        <v>156</v>
      </c>
      <c r="K181" s="123"/>
      <c r="L181" s="122"/>
      <c r="M181" s="123"/>
      <c r="N181" s="123"/>
      <c r="O181" s="123"/>
      <c r="P181" s="122"/>
      <c r="Q181" s="123"/>
      <c r="R181" s="123"/>
      <c r="S181" s="123"/>
      <c r="T181" s="122"/>
      <c r="U181" s="58" t="s">
        <v>348</v>
      </c>
      <c r="V181" s="170" t="s">
        <v>466</v>
      </c>
      <c r="W181" s="182">
        <v>25641.025641025641</v>
      </c>
      <c r="X181" s="123"/>
      <c r="Y181" s="123"/>
      <c r="Z181" s="124"/>
      <c r="AA181" s="168"/>
      <c r="AB181" s="227">
        <f>W181*585</f>
        <v>15000000</v>
      </c>
      <c r="AC181" s="258">
        <v>1</v>
      </c>
      <c r="AD181" s="131"/>
      <c r="AE181" s="277"/>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131"/>
      <c r="BA181" s="131"/>
      <c r="BB181" s="131"/>
      <c r="BC181" s="131"/>
      <c r="BD181" s="131"/>
      <c r="BE181" s="131"/>
      <c r="BF181" s="131"/>
      <c r="BG181" s="131"/>
      <c r="BH181" s="131"/>
      <c r="BI181" s="131"/>
      <c r="BJ181" s="131"/>
      <c r="BK181" s="131"/>
      <c r="BL181" s="131"/>
      <c r="BM181" s="131"/>
      <c r="BN181" s="131"/>
      <c r="BO181" s="131"/>
      <c r="BP181" s="131"/>
      <c r="BQ181" s="131"/>
      <c r="BR181" s="131"/>
      <c r="BS181" s="131"/>
      <c r="BT181" s="131"/>
      <c r="BU181" s="131"/>
      <c r="BV181" s="131"/>
      <c r="BW181" s="131"/>
      <c r="BX181" s="131"/>
      <c r="BY181" s="131"/>
      <c r="BZ181" s="131"/>
      <c r="CA181" s="131"/>
      <c r="CB181" s="131"/>
      <c r="CC181" s="131"/>
      <c r="CD181" s="131"/>
      <c r="CE181" s="131"/>
      <c r="CF181" s="131"/>
      <c r="CG181" s="131"/>
      <c r="CH181" s="131"/>
      <c r="CI181" s="131"/>
      <c r="CJ181" s="131"/>
      <c r="CK181" s="131"/>
      <c r="CL181" s="131"/>
      <c r="CM181" s="131"/>
      <c r="CN181" s="131"/>
      <c r="CO181" s="131"/>
      <c r="CP181" s="131"/>
      <c r="CQ181" s="131"/>
      <c r="CR181" s="131"/>
      <c r="CS181" s="131"/>
      <c r="CT181" s="131"/>
      <c r="CU181" s="131"/>
      <c r="CV181" s="131"/>
      <c r="CW181" s="131"/>
      <c r="CX181" s="131"/>
      <c r="CY181" s="131"/>
      <c r="CZ181" s="131"/>
      <c r="DA181" s="131"/>
      <c r="DB181" s="131"/>
      <c r="DC181" s="131"/>
      <c r="DD181" s="131"/>
      <c r="DE181" s="131"/>
      <c r="DF181" s="131"/>
      <c r="DG181" s="131"/>
      <c r="DH181" s="131"/>
      <c r="DI181" s="131"/>
      <c r="DJ181" s="131"/>
      <c r="DK181" s="131"/>
      <c r="DL181" s="131"/>
      <c r="DM181" s="131"/>
      <c r="DN181" s="131"/>
      <c r="DO181" s="131"/>
      <c r="DP181" s="131"/>
      <c r="DQ181" s="131"/>
      <c r="DR181" s="131"/>
      <c r="DS181" s="131"/>
      <c r="DT181" s="131"/>
      <c r="DU181" s="131"/>
      <c r="DV181" s="131"/>
      <c r="DW181" s="131"/>
      <c r="DX181" s="131"/>
      <c r="DY181" s="131"/>
      <c r="DZ181" s="131"/>
      <c r="EA181" s="131"/>
      <c r="EB181" s="131"/>
      <c r="EC181" s="131"/>
      <c r="ED181" s="131"/>
      <c r="EE181" s="131"/>
      <c r="EF181" s="131"/>
      <c r="EG181" s="131"/>
      <c r="EH181" s="131"/>
      <c r="EI181" s="131"/>
      <c r="EJ181" s="131"/>
      <c r="EK181" s="131"/>
      <c r="EL181" s="131"/>
      <c r="EM181" s="131"/>
      <c r="EN181" s="131"/>
      <c r="EO181" s="131"/>
      <c r="EP181" s="131"/>
      <c r="EQ181" s="131"/>
      <c r="ER181" s="131"/>
      <c r="ES181" s="131"/>
      <c r="ET181" s="131"/>
      <c r="EU181" s="131"/>
      <c r="EV181" s="131"/>
      <c r="EW181" s="131"/>
      <c r="EX181" s="131"/>
      <c r="EY181" s="131"/>
      <c r="EZ181" s="131"/>
      <c r="FA181" s="131"/>
      <c r="FB181" s="131"/>
      <c r="FC181" s="131"/>
      <c r="FD181" s="131"/>
      <c r="FE181" s="131"/>
      <c r="FF181" s="131"/>
      <c r="FG181" s="131"/>
      <c r="FH181" s="131"/>
      <c r="FI181" s="131"/>
      <c r="FJ181" s="131"/>
      <c r="FK181" s="131"/>
      <c r="FL181" s="131"/>
      <c r="FM181" s="131"/>
      <c r="FN181" s="131"/>
      <c r="FO181" s="131"/>
      <c r="FP181" s="131"/>
      <c r="FQ181" s="131"/>
      <c r="FR181" s="131"/>
      <c r="FS181" s="131"/>
      <c r="FT181" s="131"/>
      <c r="FU181" s="131"/>
      <c r="FV181" s="131"/>
      <c r="FW181" s="131"/>
      <c r="FX181" s="131"/>
      <c r="FY181" s="131"/>
      <c r="FZ181" s="131"/>
      <c r="GA181" s="131"/>
      <c r="GB181" s="131"/>
      <c r="GC181" s="131"/>
      <c r="GD181" s="131"/>
      <c r="GE181" s="131"/>
      <c r="GF181" s="131"/>
      <c r="GG181" s="131"/>
      <c r="GH181" s="131"/>
      <c r="GI181" s="131"/>
      <c r="GJ181" s="131"/>
      <c r="GK181" s="131"/>
      <c r="GL181" s="131"/>
      <c r="GM181" s="131"/>
      <c r="GN181" s="131"/>
      <c r="GO181" s="131"/>
      <c r="GP181" s="131"/>
      <c r="GQ181" s="131"/>
      <c r="GR181" s="131"/>
      <c r="GS181" s="131"/>
      <c r="GT181" s="131"/>
      <c r="GU181" s="131"/>
      <c r="GV181" s="131"/>
      <c r="GW181" s="131"/>
      <c r="GX181" s="131"/>
      <c r="GY181" s="131"/>
      <c r="GZ181" s="131"/>
      <c r="HA181" s="131"/>
      <c r="HB181" s="131"/>
      <c r="HC181" s="131"/>
      <c r="HD181" s="131"/>
      <c r="HE181" s="131"/>
      <c r="HF181" s="131"/>
      <c r="HG181" s="131"/>
      <c r="HH181" s="131"/>
      <c r="HI181" s="131"/>
      <c r="HJ181" s="131"/>
      <c r="HK181" s="131"/>
      <c r="HL181" s="131"/>
      <c r="HM181" s="131"/>
      <c r="HN181" s="131"/>
      <c r="HO181" s="131"/>
      <c r="HP181" s="131"/>
      <c r="HQ181" s="131"/>
    </row>
    <row r="182" spans="1:225" s="103" customFormat="1" ht="202" customHeight="1" x14ac:dyDescent="0.15">
      <c r="A182" s="58" t="s">
        <v>438</v>
      </c>
      <c r="B182" s="46" t="s">
        <v>439</v>
      </c>
      <c r="C182" s="123"/>
      <c r="D182" s="82"/>
      <c r="E182" s="123"/>
      <c r="F182" s="123"/>
      <c r="G182" s="123"/>
      <c r="H182" s="122"/>
      <c r="I182" s="181" t="s">
        <v>156</v>
      </c>
      <c r="J182" s="181" t="s">
        <v>156</v>
      </c>
      <c r="K182" s="181" t="s">
        <v>156</v>
      </c>
      <c r="L182" s="122"/>
      <c r="M182" s="123"/>
      <c r="N182" s="123"/>
      <c r="O182" s="123"/>
      <c r="P182" s="122"/>
      <c r="Q182" s="123"/>
      <c r="R182" s="123"/>
      <c r="S182" s="123"/>
      <c r="T182" s="122"/>
      <c r="U182" s="58" t="s">
        <v>440</v>
      </c>
      <c r="V182" s="170" t="s">
        <v>466</v>
      </c>
      <c r="W182" s="182">
        <v>17094.017094017094</v>
      </c>
      <c r="X182" s="123"/>
      <c r="Y182" s="123"/>
      <c r="Z182" s="124"/>
      <c r="AA182" s="168"/>
      <c r="AB182" s="227">
        <f>W182*585</f>
        <v>10000000</v>
      </c>
      <c r="AC182" s="258">
        <v>1</v>
      </c>
      <c r="AD182" s="131"/>
      <c r="AE182" s="277"/>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131"/>
      <c r="BA182" s="131"/>
      <c r="BB182" s="131"/>
      <c r="BC182" s="131"/>
      <c r="BD182" s="131"/>
      <c r="BE182" s="131"/>
      <c r="BF182" s="131"/>
      <c r="BG182" s="131"/>
      <c r="BH182" s="131"/>
      <c r="BI182" s="131"/>
      <c r="BJ182" s="131"/>
      <c r="BK182" s="131"/>
      <c r="BL182" s="131"/>
      <c r="BM182" s="131"/>
      <c r="BN182" s="131"/>
      <c r="BO182" s="131"/>
      <c r="BP182" s="131"/>
      <c r="BQ182" s="131"/>
      <c r="BR182" s="131"/>
      <c r="BS182" s="131"/>
      <c r="BT182" s="131"/>
      <c r="BU182" s="131"/>
      <c r="BV182" s="131"/>
      <c r="BW182" s="131"/>
      <c r="BX182" s="131"/>
      <c r="BY182" s="131"/>
      <c r="BZ182" s="131"/>
      <c r="CA182" s="131"/>
      <c r="CB182" s="131"/>
      <c r="CC182" s="131"/>
      <c r="CD182" s="131"/>
      <c r="CE182" s="131"/>
      <c r="CF182" s="131"/>
      <c r="CG182" s="131"/>
      <c r="CH182" s="131"/>
      <c r="CI182" s="131"/>
      <c r="CJ182" s="131"/>
      <c r="CK182" s="131"/>
      <c r="CL182" s="131"/>
      <c r="CM182" s="131"/>
      <c r="CN182" s="131"/>
      <c r="CO182" s="131"/>
      <c r="CP182" s="131"/>
      <c r="CQ182" s="131"/>
      <c r="CR182" s="131"/>
      <c r="CS182" s="131"/>
      <c r="CT182" s="131"/>
      <c r="CU182" s="131"/>
      <c r="CV182" s="131"/>
      <c r="CW182" s="131"/>
      <c r="CX182" s="131"/>
      <c r="CY182" s="131"/>
      <c r="CZ182" s="131"/>
      <c r="DA182" s="131"/>
      <c r="DB182" s="131"/>
      <c r="DC182" s="131"/>
      <c r="DD182" s="131"/>
      <c r="DE182" s="131"/>
      <c r="DF182" s="131"/>
      <c r="DG182" s="131"/>
      <c r="DH182" s="131"/>
      <c r="DI182" s="131"/>
      <c r="DJ182" s="131"/>
      <c r="DK182" s="131"/>
      <c r="DL182" s="131"/>
      <c r="DM182" s="131"/>
      <c r="DN182" s="131"/>
      <c r="DO182" s="131"/>
      <c r="DP182" s="131"/>
      <c r="DQ182" s="131"/>
      <c r="DR182" s="131"/>
      <c r="DS182" s="131"/>
      <c r="DT182" s="131"/>
      <c r="DU182" s="131"/>
      <c r="DV182" s="131"/>
      <c r="DW182" s="131"/>
      <c r="DX182" s="131"/>
      <c r="DY182" s="131"/>
      <c r="DZ182" s="131"/>
      <c r="EA182" s="131"/>
      <c r="EB182" s="131"/>
      <c r="EC182" s="131"/>
      <c r="ED182" s="131"/>
      <c r="EE182" s="131"/>
      <c r="EF182" s="131"/>
      <c r="EG182" s="131"/>
      <c r="EH182" s="131"/>
      <c r="EI182" s="131"/>
      <c r="EJ182" s="131"/>
      <c r="EK182" s="131"/>
      <c r="EL182" s="131"/>
      <c r="EM182" s="131"/>
      <c r="EN182" s="131"/>
      <c r="EO182" s="131"/>
      <c r="EP182" s="131"/>
      <c r="EQ182" s="131"/>
      <c r="ER182" s="131"/>
      <c r="ES182" s="131"/>
      <c r="ET182" s="131"/>
      <c r="EU182" s="131"/>
      <c r="EV182" s="131"/>
      <c r="EW182" s="131"/>
      <c r="EX182" s="131"/>
      <c r="EY182" s="131"/>
      <c r="EZ182" s="131"/>
      <c r="FA182" s="131"/>
      <c r="FB182" s="131"/>
      <c r="FC182" s="131"/>
      <c r="FD182" s="131"/>
      <c r="FE182" s="131"/>
      <c r="FF182" s="131"/>
      <c r="FG182" s="131"/>
      <c r="FH182" s="131"/>
      <c r="FI182" s="131"/>
      <c r="FJ182" s="131"/>
      <c r="FK182" s="131"/>
      <c r="FL182" s="131"/>
      <c r="FM182" s="131"/>
      <c r="FN182" s="131"/>
      <c r="FO182" s="131"/>
      <c r="FP182" s="131"/>
      <c r="FQ182" s="131"/>
      <c r="FR182" s="131"/>
      <c r="FS182" s="131"/>
      <c r="FT182" s="131"/>
      <c r="FU182" s="131"/>
      <c r="FV182" s="131"/>
      <c r="FW182" s="131"/>
      <c r="FX182" s="131"/>
      <c r="FY182" s="131"/>
      <c r="FZ182" s="131"/>
      <c r="GA182" s="131"/>
      <c r="GB182" s="131"/>
      <c r="GC182" s="131"/>
      <c r="GD182" s="131"/>
      <c r="GE182" s="131"/>
      <c r="GF182" s="131"/>
      <c r="GG182" s="131"/>
      <c r="GH182" s="131"/>
      <c r="GI182" s="131"/>
      <c r="GJ182" s="131"/>
      <c r="GK182" s="131"/>
      <c r="GL182" s="131"/>
      <c r="GM182" s="131"/>
      <c r="GN182" s="131"/>
      <c r="GO182" s="131"/>
      <c r="GP182" s="131"/>
      <c r="GQ182" s="131"/>
      <c r="GR182" s="131"/>
      <c r="GS182" s="131"/>
      <c r="GT182" s="131"/>
      <c r="GU182" s="131"/>
      <c r="GV182" s="131"/>
      <c r="GW182" s="131"/>
      <c r="GX182" s="131"/>
      <c r="GY182" s="131"/>
      <c r="GZ182" s="131"/>
      <c r="HA182" s="131"/>
      <c r="HB182" s="131"/>
      <c r="HC182" s="131"/>
      <c r="HD182" s="131"/>
      <c r="HE182" s="131"/>
      <c r="HF182" s="131"/>
      <c r="HG182" s="131"/>
      <c r="HH182" s="131"/>
      <c r="HI182" s="131"/>
      <c r="HJ182" s="131"/>
      <c r="HK182" s="131"/>
      <c r="HL182" s="131"/>
      <c r="HM182" s="131"/>
      <c r="HN182" s="131"/>
      <c r="HO182" s="131"/>
      <c r="HP182" s="131"/>
      <c r="HQ182" s="131"/>
    </row>
    <row r="183" spans="1:225" s="55" customFormat="1" ht="14" x14ac:dyDescent="0.15">
      <c r="A183" s="36" t="s">
        <v>465</v>
      </c>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52"/>
      <c r="Z183" s="24" t="s">
        <v>133</v>
      </c>
      <c r="AC183" s="264"/>
      <c r="AE183" s="264">
        <v>1</v>
      </c>
    </row>
    <row r="184" spans="1:225" s="103" customFormat="1" ht="91" customHeight="1" x14ac:dyDescent="0.15">
      <c r="A184" s="45" t="s">
        <v>240</v>
      </c>
      <c r="B184" s="25" t="s">
        <v>249</v>
      </c>
      <c r="D184" s="82"/>
      <c r="E184" s="123"/>
      <c r="F184" s="123"/>
      <c r="G184" s="123"/>
      <c r="H184" s="122"/>
      <c r="I184" s="144"/>
      <c r="J184" s="144"/>
      <c r="K184" s="144"/>
      <c r="L184" s="122"/>
      <c r="M184" s="181" t="s">
        <v>156</v>
      </c>
      <c r="N184" s="123"/>
      <c r="O184" s="123"/>
      <c r="P184" s="122"/>
      <c r="Q184" s="123"/>
      <c r="R184" s="123"/>
      <c r="S184" s="123"/>
      <c r="T184" s="122"/>
      <c r="U184" s="25" t="s">
        <v>153</v>
      </c>
      <c r="V184" s="170"/>
      <c r="W184" s="182"/>
      <c r="X184" s="123"/>
      <c r="Y184" s="182">
        <f>12348.3704*1.15</f>
        <v>14200.625959999999</v>
      </c>
      <c r="Z184" s="124"/>
      <c r="AA184" s="168"/>
      <c r="AB184" s="227">
        <f>Y184*585</f>
        <v>8307366.1865999997</v>
      </c>
      <c r="AC184" s="258">
        <v>1</v>
      </c>
      <c r="AD184" s="131"/>
      <c r="AE184" s="277"/>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c r="BC184" s="131"/>
      <c r="BD184" s="131"/>
      <c r="BE184" s="131"/>
      <c r="BF184" s="131"/>
      <c r="BG184" s="131"/>
      <c r="BH184" s="131"/>
      <c r="BI184" s="131"/>
      <c r="BJ184" s="131"/>
      <c r="BK184" s="131"/>
      <c r="BL184" s="131"/>
      <c r="BM184" s="131"/>
      <c r="BN184" s="131"/>
      <c r="BO184" s="131"/>
      <c r="BP184" s="131"/>
      <c r="BQ184" s="131"/>
      <c r="BR184" s="131"/>
      <c r="BS184" s="131"/>
      <c r="BT184" s="131"/>
      <c r="BU184" s="131"/>
      <c r="BV184" s="131"/>
      <c r="BW184" s="131"/>
      <c r="BX184" s="131"/>
      <c r="BY184" s="131"/>
      <c r="BZ184" s="131"/>
      <c r="CA184" s="131"/>
      <c r="CB184" s="131"/>
      <c r="CC184" s="131"/>
      <c r="CD184" s="131"/>
      <c r="CE184" s="131"/>
      <c r="CF184" s="131"/>
      <c r="CG184" s="131"/>
      <c r="CH184" s="131"/>
      <c r="CI184" s="131"/>
      <c r="CJ184" s="131"/>
      <c r="CK184" s="131"/>
      <c r="CL184" s="131"/>
      <c r="CM184" s="131"/>
      <c r="CN184" s="131"/>
      <c r="CO184" s="131"/>
      <c r="CP184" s="131"/>
      <c r="CQ184" s="131"/>
      <c r="CR184" s="131"/>
      <c r="CS184" s="131"/>
      <c r="CT184" s="131"/>
      <c r="CU184" s="131"/>
      <c r="CV184" s="131"/>
      <c r="CW184" s="131"/>
      <c r="CX184" s="131"/>
      <c r="CY184" s="131"/>
      <c r="CZ184" s="131"/>
      <c r="DA184" s="131"/>
      <c r="DB184" s="131"/>
      <c r="DC184" s="131"/>
      <c r="DD184" s="131"/>
      <c r="DE184" s="131"/>
      <c r="DF184" s="131"/>
      <c r="DG184" s="131"/>
      <c r="DH184" s="131"/>
      <c r="DI184" s="131"/>
      <c r="DJ184" s="131"/>
      <c r="DK184" s="131"/>
      <c r="DL184" s="131"/>
      <c r="DM184" s="131"/>
      <c r="DN184" s="131"/>
      <c r="DO184" s="131"/>
      <c r="DP184" s="131"/>
      <c r="DQ184" s="131"/>
      <c r="DR184" s="131"/>
      <c r="DS184" s="131"/>
      <c r="DT184" s="131"/>
      <c r="DU184" s="131"/>
      <c r="DV184" s="131"/>
      <c r="DW184" s="131"/>
      <c r="DX184" s="131"/>
      <c r="DY184" s="131"/>
      <c r="DZ184" s="131"/>
      <c r="EA184" s="131"/>
      <c r="EB184" s="131"/>
      <c r="EC184" s="131"/>
      <c r="ED184" s="131"/>
      <c r="EE184" s="131"/>
      <c r="EF184" s="131"/>
      <c r="EG184" s="131"/>
      <c r="EH184" s="131"/>
      <c r="EI184" s="131"/>
      <c r="EJ184" s="131"/>
      <c r="EK184" s="131"/>
      <c r="EL184" s="131"/>
      <c r="EM184" s="131"/>
      <c r="EN184" s="131"/>
      <c r="EO184" s="131"/>
      <c r="EP184" s="131"/>
      <c r="EQ184" s="131"/>
      <c r="ER184" s="131"/>
      <c r="ES184" s="131"/>
      <c r="ET184" s="131"/>
      <c r="EU184" s="131"/>
      <c r="EV184" s="131"/>
      <c r="EW184" s="131"/>
      <c r="EX184" s="131"/>
      <c r="EY184" s="131"/>
      <c r="EZ184" s="131"/>
      <c r="FA184" s="131"/>
      <c r="FB184" s="131"/>
      <c r="FC184" s="131"/>
      <c r="FD184" s="131"/>
      <c r="FE184" s="131"/>
      <c r="FF184" s="131"/>
      <c r="FG184" s="131"/>
      <c r="FH184" s="131"/>
      <c r="FI184" s="131"/>
      <c r="FJ184" s="131"/>
      <c r="FK184" s="131"/>
      <c r="FL184" s="131"/>
      <c r="FM184" s="131"/>
      <c r="FN184" s="131"/>
      <c r="FO184" s="131"/>
      <c r="FP184" s="131"/>
      <c r="FQ184" s="131"/>
      <c r="FR184" s="131"/>
      <c r="FS184" s="131"/>
      <c r="FT184" s="131"/>
      <c r="FU184" s="131"/>
      <c r="FV184" s="131"/>
      <c r="FW184" s="131"/>
      <c r="FX184" s="131"/>
      <c r="FY184" s="131"/>
      <c r="FZ184" s="131"/>
      <c r="GA184" s="131"/>
      <c r="GB184" s="131"/>
      <c r="GC184" s="131"/>
      <c r="GD184" s="131"/>
      <c r="GE184" s="131"/>
      <c r="GF184" s="131"/>
      <c r="GG184" s="131"/>
      <c r="GH184" s="131"/>
      <c r="GI184" s="131"/>
      <c r="GJ184" s="131"/>
      <c r="GK184" s="131"/>
      <c r="GL184" s="131"/>
      <c r="GM184" s="131"/>
      <c r="GN184" s="131"/>
      <c r="GO184" s="131"/>
      <c r="GP184" s="131"/>
      <c r="GQ184" s="131"/>
      <c r="GR184" s="131"/>
      <c r="GS184" s="131"/>
      <c r="GT184" s="131"/>
      <c r="GU184" s="131"/>
      <c r="GV184" s="131"/>
      <c r="GW184" s="131"/>
      <c r="GX184" s="131"/>
      <c r="GY184" s="131"/>
      <c r="GZ184" s="131"/>
      <c r="HA184" s="131"/>
      <c r="HB184" s="131"/>
      <c r="HC184" s="131"/>
      <c r="HD184" s="131"/>
      <c r="HE184" s="131"/>
      <c r="HF184" s="131"/>
      <c r="HG184" s="131"/>
      <c r="HH184" s="131"/>
      <c r="HI184" s="131"/>
      <c r="HJ184" s="131"/>
      <c r="HK184" s="131"/>
      <c r="HL184" s="131"/>
      <c r="HM184" s="131"/>
      <c r="HN184" s="131"/>
      <c r="HO184" s="131"/>
      <c r="HP184" s="131"/>
      <c r="HQ184" s="131"/>
    </row>
    <row r="185" spans="1:225" s="103" customFormat="1" ht="77" customHeight="1" x14ac:dyDescent="0.15">
      <c r="A185" s="45" t="s">
        <v>313</v>
      </c>
      <c r="B185" s="25" t="s">
        <v>204</v>
      </c>
      <c r="D185" s="82"/>
      <c r="E185" s="123"/>
      <c r="F185" s="181" t="s">
        <v>156</v>
      </c>
      <c r="G185" s="181" t="s">
        <v>156</v>
      </c>
      <c r="H185" s="175"/>
      <c r="I185" s="181" t="s">
        <v>156</v>
      </c>
      <c r="J185" s="181" t="s">
        <v>156</v>
      </c>
      <c r="K185" s="181" t="s">
        <v>156</v>
      </c>
      <c r="L185" s="175"/>
      <c r="M185" s="181" t="s">
        <v>156</v>
      </c>
      <c r="N185" s="181" t="s">
        <v>156</v>
      </c>
      <c r="O185" s="181" t="s">
        <v>156</v>
      </c>
      <c r="P185" s="175"/>
      <c r="Q185" s="181" t="s">
        <v>156</v>
      </c>
      <c r="R185" s="181" t="s">
        <v>156</v>
      </c>
      <c r="S185" s="181" t="s">
        <v>156</v>
      </c>
      <c r="T185" s="122"/>
      <c r="U185" s="25" t="s">
        <v>92</v>
      </c>
      <c r="V185" s="170"/>
      <c r="W185" s="182"/>
      <c r="X185" s="123"/>
      <c r="Y185" s="172">
        <v>17531.554499999998</v>
      </c>
      <c r="Z185" s="124"/>
      <c r="AA185" s="168"/>
      <c r="AB185" s="227">
        <f>Y185*585</f>
        <v>10255959.382499998</v>
      </c>
      <c r="AC185" s="258">
        <v>1</v>
      </c>
      <c r="AD185" s="256">
        <f>SUM(AC128:AC185)</f>
        <v>44</v>
      </c>
      <c r="AE185" s="257">
        <f>SUM(AE127:AE184)</f>
        <v>15</v>
      </c>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131"/>
      <c r="BA185" s="131"/>
      <c r="BB185" s="131"/>
      <c r="BC185" s="131"/>
      <c r="BD185" s="131"/>
      <c r="BE185" s="131"/>
      <c r="BF185" s="131"/>
      <c r="BG185" s="131"/>
      <c r="BH185" s="131"/>
      <c r="BI185" s="131"/>
      <c r="BJ185" s="131"/>
      <c r="BK185" s="131"/>
      <c r="BL185" s="131"/>
      <c r="BM185" s="131"/>
      <c r="BN185" s="131"/>
      <c r="BO185" s="131"/>
      <c r="BP185" s="131"/>
      <c r="BQ185" s="131"/>
      <c r="BR185" s="131"/>
      <c r="BS185" s="131"/>
      <c r="BT185" s="131"/>
      <c r="BU185" s="131"/>
      <c r="BV185" s="131"/>
      <c r="BW185" s="131"/>
      <c r="BX185" s="131"/>
      <c r="BY185" s="131"/>
      <c r="BZ185" s="131"/>
      <c r="CA185" s="131"/>
      <c r="CB185" s="131"/>
      <c r="CC185" s="131"/>
      <c r="CD185" s="131"/>
      <c r="CE185" s="131"/>
      <c r="CF185" s="131"/>
      <c r="CG185" s="131"/>
      <c r="CH185" s="131"/>
      <c r="CI185" s="131"/>
      <c r="CJ185" s="131"/>
      <c r="CK185" s="131"/>
      <c r="CL185" s="131"/>
      <c r="CM185" s="131"/>
      <c r="CN185" s="131"/>
      <c r="CO185" s="131"/>
      <c r="CP185" s="131"/>
      <c r="CQ185" s="131"/>
      <c r="CR185" s="131"/>
      <c r="CS185" s="131"/>
      <c r="CT185" s="131"/>
      <c r="CU185" s="131"/>
      <c r="CV185" s="131"/>
      <c r="CW185" s="131"/>
      <c r="CX185" s="131"/>
      <c r="CY185" s="131"/>
      <c r="CZ185" s="131"/>
      <c r="DA185" s="131"/>
      <c r="DB185" s="131"/>
      <c r="DC185" s="131"/>
      <c r="DD185" s="131"/>
      <c r="DE185" s="131"/>
      <c r="DF185" s="131"/>
      <c r="DG185" s="131"/>
      <c r="DH185" s="131"/>
      <c r="DI185" s="131"/>
      <c r="DJ185" s="131"/>
      <c r="DK185" s="131"/>
      <c r="DL185" s="131"/>
      <c r="DM185" s="131"/>
      <c r="DN185" s="131"/>
      <c r="DO185" s="131"/>
      <c r="DP185" s="131"/>
      <c r="DQ185" s="131"/>
      <c r="DR185" s="131"/>
      <c r="DS185" s="131"/>
      <c r="DT185" s="131"/>
      <c r="DU185" s="131"/>
      <c r="DV185" s="131"/>
      <c r="DW185" s="131"/>
      <c r="DX185" s="131"/>
      <c r="DY185" s="131"/>
      <c r="DZ185" s="131"/>
      <c r="EA185" s="131"/>
      <c r="EB185" s="131"/>
      <c r="EC185" s="131"/>
      <c r="ED185" s="131"/>
      <c r="EE185" s="131"/>
      <c r="EF185" s="131"/>
      <c r="EG185" s="131"/>
      <c r="EH185" s="131"/>
      <c r="EI185" s="131"/>
      <c r="EJ185" s="131"/>
      <c r="EK185" s="131"/>
      <c r="EL185" s="131"/>
      <c r="EM185" s="131"/>
      <c r="EN185" s="131"/>
      <c r="EO185" s="131"/>
      <c r="EP185" s="131"/>
      <c r="EQ185" s="131"/>
      <c r="ER185" s="131"/>
      <c r="ES185" s="131"/>
      <c r="ET185" s="131"/>
      <c r="EU185" s="131"/>
      <c r="EV185" s="131"/>
      <c r="EW185" s="131"/>
      <c r="EX185" s="131"/>
      <c r="EY185" s="131"/>
      <c r="EZ185" s="131"/>
      <c r="FA185" s="131"/>
      <c r="FB185" s="131"/>
      <c r="FC185" s="131"/>
      <c r="FD185" s="131"/>
      <c r="FE185" s="131"/>
      <c r="FF185" s="131"/>
      <c r="FG185" s="131"/>
      <c r="FH185" s="131"/>
      <c r="FI185" s="131"/>
      <c r="FJ185" s="131"/>
      <c r="FK185" s="131"/>
      <c r="FL185" s="131"/>
      <c r="FM185" s="131"/>
      <c r="FN185" s="131"/>
      <c r="FO185" s="131"/>
      <c r="FP185" s="131"/>
      <c r="FQ185" s="131"/>
      <c r="FR185" s="131"/>
      <c r="FS185" s="131"/>
      <c r="FT185" s="131"/>
      <c r="FU185" s="131"/>
      <c r="FV185" s="131"/>
      <c r="FW185" s="131"/>
      <c r="FX185" s="131"/>
      <c r="FY185" s="131"/>
      <c r="FZ185" s="131"/>
      <c r="GA185" s="131"/>
      <c r="GB185" s="131"/>
      <c r="GC185" s="131"/>
      <c r="GD185" s="131"/>
      <c r="GE185" s="131"/>
      <c r="GF185" s="131"/>
      <c r="GG185" s="131"/>
      <c r="GH185" s="131"/>
      <c r="GI185" s="131"/>
      <c r="GJ185" s="131"/>
      <c r="GK185" s="131"/>
      <c r="GL185" s="131"/>
      <c r="GM185" s="131"/>
      <c r="GN185" s="131"/>
      <c r="GO185" s="131"/>
      <c r="GP185" s="131"/>
      <c r="GQ185" s="131"/>
      <c r="GR185" s="131"/>
      <c r="GS185" s="131"/>
      <c r="GT185" s="131"/>
      <c r="GU185" s="131"/>
      <c r="GV185" s="131"/>
      <c r="GW185" s="131"/>
      <c r="GX185" s="131"/>
      <c r="GY185" s="131"/>
      <c r="GZ185" s="131"/>
      <c r="HA185" s="131"/>
      <c r="HB185" s="131"/>
      <c r="HC185" s="131"/>
      <c r="HD185" s="131"/>
      <c r="HE185" s="131"/>
      <c r="HF185" s="131"/>
      <c r="HG185" s="131"/>
      <c r="HH185" s="131"/>
      <c r="HI185" s="131"/>
      <c r="HJ185" s="131"/>
      <c r="HK185" s="131"/>
      <c r="HL185" s="131"/>
      <c r="HM185" s="131"/>
      <c r="HN185" s="131"/>
      <c r="HO185" s="131"/>
      <c r="HP185" s="131"/>
      <c r="HQ185" s="131"/>
    </row>
    <row r="186" spans="1:225" s="106" customFormat="1" ht="14" x14ac:dyDescent="0.15">
      <c r="A186" s="132" t="s">
        <v>178</v>
      </c>
      <c r="C186" s="185">
        <f>SUM(C11:C185)</f>
        <v>0</v>
      </c>
      <c r="D186" s="186"/>
      <c r="E186" s="301"/>
      <c r="F186" s="301"/>
      <c r="G186" s="301"/>
      <c r="H186" s="301"/>
      <c r="I186" s="301"/>
      <c r="J186" s="301"/>
      <c r="K186" s="301"/>
      <c r="L186" s="301"/>
      <c r="M186" s="301"/>
      <c r="N186" s="301"/>
      <c r="O186" s="301"/>
      <c r="P186" s="301"/>
      <c r="Q186" s="301"/>
      <c r="R186" s="301"/>
      <c r="S186" s="301"/>
      <c r="V186" s="162"/>
      <c r="W186" s="231">
        <f>SUM(W11:W185)</f>
        <v>4079159.6336195716</v>
      </c>
      <c r="X186" s="231">
        <f>SUM(X11:X185)</f>
        <v>0</v>
      </c>
      <c r="Y186" s="231">
        <f>SUM(Y11:Y185)</f>
        <v>795382.82865511719</v>
      </c>
      <c r="AA186" s="130"/>
      <c r="AB186" s="232">
        <f>SUM(AB11:AB185)</f>
        <v>2851607340.4306941</v>
      </c>
      <c r="AC186" s="131"/>
      <c r="AD186" s="260">
        <f>AD28+AD47+AD70+AD80+AD100+AD125+AD185</f>
        <v>120</v>
      </c>
      <c r="AE186" s="260">
        <f>AE28+AE47+AE70+AE80+AE100+AE125+AE185</f>
        <v>48</v>
      </c>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131"/>
      <c r="BA186" s="131"/>
      <c r="BB186" s="131"/>
      <c r="BC186" s="131"/>
      <c r="BD186" s="131"/>
      <c r="BE186" s="131"/>
      <c r="BF186" s="131"/>
      <c r="BG186" s="131"/>
      <c r="BH186" s="131"/>
      <c r="BI186" s="131"/>
      <c r="BJ186" s="131"/>
      <c r="BK186" s="131"/>
      <c r="BL186" s="131"/>
      <c r="BM186" s="131"/>
      <c r="BN186" s="131"/>
      <c r="BO186" s="131"/>
      <c r="BP186" s="131"/>
      <c r="BS186" s="131"/>
      <c r="BT186" s="131"/>
      <c r="BU186" s="131"/>
      <c r="BV186" s="131"/>
      <c r="BW186" s="131"/>
      <c r="BX186" s="131"/>
      <c r="BY186" s="131"/>
      <c r="BZ186" s="131"/>
      <c r="CA186" s="131"/>
      <c r="CB186" s="131"/>
      <c r="CC186" s="131"/>
      <c r="CD186" s="131"/>
      <c r="CE186" s="131"/>
      <c r="CF186" s="131"/>
      <c r="CG186" s="131"/>
      <c r="CH186" s="131"/>
      <c r="CI186" s="131"/>
      <c r="CJ186" s="131"/>
      <c r="CK186" s="131"/>
      <c r="CL186" s="131"/>
      <c r="CM186" s="131"/>
      <c r="CN186" s="131"/>
      <c r="CO186" s="131"/>
      <c r="CP186" s="131"/>
      <c r="CQ186" s="131"/>
      <c r="CR186" s="131"/>
      <c r="CS186" s="131"/>
      <c r="CT186" s="131"/>
      <c r="CU186" s="131"/>
      <c r="CV186" s="131"/>
      <c r="CW186" s="131"/>
      <c r="CX186" s="131"/>
      <c r="CY186" s="131"/>
      <c r="CZ186" s="131"/>
      <c r="DA186" s="131"/>
      <c r="DB186" s="131"/>
      <c r="DC186" s="131"/>
      <c r="DD186" s="131"/>
      <c r="DE186" s="131"/>
      <c r="DF186" s="131"/>
      <c r="DG186" s="131"/>
      <c r="DH186" s="131"/>
      <c r="DI186" s="131"/>
      <c r="DJ186" s="131"/>
      <c r="DK186" s="131"/>
      <c r="DL186" s="131"/>
      <c r="DM186" s="131"/>
      <c r="DN186" s="131"/>
      <c r="DO186" s="131"/>
      <c r="DP186" s="131"/>
      <c r="DQ186" s="131"/>
      <c r="DR186" s="131"/>
      <c r="DS186" s="131"/>
      <c r="DT186" s="131"/>
      <c r="DU186" s="131"/>
      <c r="DV186" s="131"/>
      <c r="DW186" s="131"/>
      <c r="DX186" s="131"/>
      <c r="DY186" s="131"/>
      <c r="DZ186" s="131"/>
      <c r="EA186" s="131"/>
      <c r="EB186" s="131"/>
      <c r="EC186" s="131"/>
      <c r="ED186" s="131"/>
      <c r="EE186" s="131"/>
      <c r="EF186" s="131"/>
      <c r="EG186" s="131"/>
      <c r="EH186" s="131"/>
      <c r="EI186" s="131"/>
      <c r="EJ186" s="131"/>
      <c r="EK186" s="131"/>
      <c r="EL186" s="131"/>
      <c r="EM186" s="131"/>
      <c r="EN186" s="131"/>
      <c r="EO186" s="131"/>
      <c r="EP186" s="131"/>
      <c r="EQ186" s="131"/>
      <c r="ER186" s="131"/>
      <c r="ES186" s="131"/>
      <c r="ET186" s="131"/>
      <c r="EU186" s="131"/>
      <c r="EV186" s="131"/>
      <c r="EW186" s="131"/>
      <c r="EX186" s="131"/>
      <c r="EY186" s="131"/>
      <c r="EZ186" s="131"/>
      <c r="FA186" s="131"/>
      <c r="FB186" s="131"/>
      <c r="FC186" s="131"/>
      <c r="FD186" s="131"/>
      <c r="FE186" s="131"/>
      <c r="FF186" s="131"/>
      <c r="FG186" s="131"/>
      <c r="FH186" s="131"/>
      <c r="FI186" s="131"/>
      <c r="FJ186" s="131"/>
      <c r="FK186" s="131"/>
      <c r="FL186" s="131"/>
      <c r="FM186" s="131"/>
      <c r="FN186" s="131"/>
      <c r="FO186" s="131"/>
      <c r="FP186" s="131"/>
      <c r="FQ186" s="131"/>
      <c r="FR186" s="131"/>
      <c r="FS186" s="131"/>
      <c r="FT186" s="131"/>
      <c r="FU186" s="131"/>
      <c r="FV186" s="131"/>
      <c r="FW186" s="131"/>
      <c r="FX186" s="131"/>
      <c r="FY186" s="131"/>
      <c r="FZ186" s="131"/>
      <c r="GA186" s="131"/>
      <c r="GB186" s="131"/>
      <c r="GC186" s="131"/>
      <c r="GD186" s="131"/>
      <c r="GE186" s="131"/>
      <c r="GF186" s="131"/>
      <c r="GG186" s="131"/>
      <c r="GH186" s="131"/>
      <c r="GI186" s="131"/>
      <c r="GJ186" s="131"/>
      <c r="GK186" s="131"/>
      <c r="GL186" s="131"/>
      <c r="GM186" s="131"/>
      <c r="GN186" s="131"/>
      <c r="GO186" s="131"/>
      <c r="GP186" s="131"/>
      <c r="GQ186" s="131"/>
      <c r="GR186" s="131"/>
      <c r="GS186" s="131"/>
      <c r="GT186" s="131"/>
      <c r="GU186" s="131"/>
      <c r="GV186" s="131"/>
      <c r="GW186" s="131"/>
      <c r="GX186" s="131"/>
      <c r="GY186" s="131"/>
      <c r="GZ186" s="131"/>
      <c r="HA186" s="131"/>
      <c r="HB186" s="131"/>
      <c r="HC186" s="131"/>
      <c r="HD186" s="131"/>
      <c r="HE186" s="131"/>
      <c r="HF186" s="131"/>
      <c r="HG186" s="131"/>
      <c r="HH186" s="131"/>
      <c r="HI186" s="131"/>
      <c r="HJ186" s="131"/>
      <c r="HK186" s="131"/>
      <c r="HL186" s="131"/>
      <c r="HM186" s="131"/>
      <c r="HN186" s="131"/>
      <c r="HO186" s="131"/>
      <c r="HP186" s="131"/>
      <c r="HQ186" s="131"/>
    </row>
    <row r="187" spans="1:225" s="49" customFormat="1" ht="14" thickBot="1" x14ac:dyDescent="0.2">
      <c r="AA187" s="169"/>
      <c r="BS187" s="129"/>
      <c r="BT187" s="129"/>
      <c r="BU187" s="129"/>
      <c r="BV187" s="129"/>
      <c r="BW187" s="129"/>
      <c r="BX187" s="129"/>
      <c r="BY187" s="129"/>
      <c r="BZ187" s="129"/>
      <c r="CA187" s="129"/>
      <c r="CB187" s="129"/>
      <c r="CC187" s="129"/>
      <c r="CD187" s="129"/>
      <c r="CE187" s="129"/>
      <c r="CF187" s="129"/>
      <c r="CG187" s="129"/>
      <c r="CH187" s="129"/>
      <c r="CI187" s="129"/>
      <c r="CJ187" s="129"/>
      <c r="CK187" s="129"/>
      <c r="CL187" s="129"/>
      <c r="CM187" s="129"/>
      <c r="CN187" s="129"/>
      <c r="CO187" s="129"/>
      <c r="CP187" s="129"/>
      <c r="CQ187" s="129"/>
      <c r="CR187" s="129"/>
      <c r="CS187" s="129"/>
      <c r="CT187" s="129"/>
      <c r="CU187" s="129"/>
      <c r="CV187" s="129"/>
      <c r="CW187" s="129"/>
      <c r="CX187" s="129"/>
      <c r="CY187" s="129"/>
      <c r="CZ187" s="129"/>
      <c r="DA187" s="129"/>
      <c r="DB187" s="129"/>
      <c r="DC187" s="129"/>
      <c r="DD187" s="129"/>
      <c r="DE187" s="129"/>
      <c r="DF187" s="129"/>
      <c r="DG187" s="129"/>
      <c r="DH187" s="129"/>
      <c r="DI187" s="129"/>
      <c r="DJ187" s="129"/>
      <c r="DK187" s="129"/>
      <c r="DL187" s="129"/>
      <c r="DM187" s="129"/>
      <c r="DN187" s="129"/>
      <c r="DO187" s="129"/>
      <c r="DP187" s="129"/>
      <c r="DQ187" s="129"/>
      <c r="DR187" s="129"/>
      <c r="DS187" s="129"/>
      <c r="DT187" s="129"/>
      <c r="DU187" s="129"/>
      <c r="DV187" s="129"/>
      <c r="DW187" s="129"/>
      <c r="DX187" s="129"/>
      <c r="DY187" s="129"/>
      <c r="DZ187" s="129"/>
      <c r="EA187" s="129"/>
      <c r="EB187" s="129"/>
      <c r="EC187" s="129"/>
      <c r="ED187" s="129"/>
      <c r="EE187" s="129"/>
      <c r="EF187" s="129"/>
      <c r="EG187" s="129"/>
      <c r="EH187" s="129"/>
      <c r="EI187" s="129"/>
      <c r="EJ187" s="129"/>
      <c r="EK187" s="129"/>
      <c r="EL187" s="129"/>
      <c r="EM187" s="129"/>
      <c r="EN187" s="129"/>
      <c r="EO187" s="129"/>
      <c r="EP187" s="129"/>
      <c r="EQ187" s="129"/>
      <c r="ER187" s="129"/>
      <c r="ES187" s="129"/>
      <c r="ET187" s="129"/>
      <c r="EU187" s="129"/>
      <c r="EV187" s="129"/>
      <c r="EW187" s="129"/>
      <c r="EX187" s="129"/>
      <c r="EY187" s="129"/>
      <c r="EZ187" s="129"/>
      <c r="FA187" s="129"/>
      <c r="FB187" s="129"/>
      <c r="FC187" s="129"/>
      <c r="FD187" s="129"/>
      <c r="FE187" s="129"/>
      <c r="FF187" s="129"/>
      <c r="FG187" s="129"/>
      <c r="FH187" s="129"/>
      <c r="FI187" s="129"/>
      <c r="FJ187" s="129"/>
      <c r="FK187" s="129"/>
      <c r="FL187" s="129"/>
      <c r="FM187" s="129"/>
      <c r="FN187" s="129"/>
      <c r="FO187" s="129"/>
      <c r="FP187" s="129"/>
      <c r="FQ187" s="129"/>
      <c r="FR187" s="129"/>
      <c r="FS187" s="129"/>
      <c r="FT187" s="129"/>
      <c r="FU187" s="129"/>
      <c r="FV187" s="129"/>
      <c r="FW187" s="129"/>
      <c r="FX187" s="129"/>
      <c r="FY187" s="129"/>
      <c r="FZ187" s="129"/>
      <c r="GA187" s="129"/>
      <c r="GB187" s="129"/>
      <c r="GC187" s="129"/>
      <c r="GD187" s="129"/>
      <c r="GE187" s="129"/>
      <c r="GF187" s="129"/>
      <c r="GG187" s="129"/>
      <c r="GH187" s="129"/>
      <c r="GI187" s="129"/>
      <c r="GJ187" s="129"/>
      <c r="GK187" s="129"/>
      <c r="GL187" s="129"/>
      <c r="GM187" s="129"/>
      <c r="GN187" s="129"/>
      <c r="GO187" s="129"/>
      <c r="GP187" s="129"/>
      <c r="GQ187" s="129"/>
      <c r="GR187" s="129"/>
      <c r="GS187" s="129"/>
      <c r="GT187" s="129"/>
      <c r="GU187" s="129"/>
      <c r="GV187" s="129"/>
      <c r="GW187" s="129"/>
      <c r="GX187" s="129"/>
      <c r="GY187" s="129"/>
      <c r="GZ187" s="129"/>
      <c r="HA187" s="129"/>
      <c r="HB187" s="129"/>
      <c r="HC187" s="129"/>
      <c r="HD187" s="129"/>
      <c r="HE187" s="129"/>
      <c r="HF187" s="129"/>
      <c r="HG187" s="129"/>
      <c r="HH187" s="129"/>
      <c r="HI187" s="129"/>
      <c r="HJ187" s="129"/>
      <c r="HK187" s="129"/>
      <c r="HL187" s="129"/>
      <c r="HM187" s="129"/>
      <c r="HN187" s="129"/>
      <c r="HO187" s="129"/>
      <c r="HP187" s="129"/>
      <c r="HQ187" s="129"/>
    </row>
    <row r="188" spans="1:225" s="49" customFormat="1" ht="20" thickBot="1" x14ac:dyDescent="0.25">
      <c r="A188" s="133"/>
      <c r="B188" s="134" t="s">
        <v>149</v>
      </c>
      <c r="C188" s="134" t="s">
        <v>150</v>
      </c>
      <c r="AB188" s="230"/>
      <c r="BS188" s="131"/>
      <c r="BT188" s="131"/>
      <c r="BU188" s="131"/>
      <c r="BV188" s="131"/>
      <c r="BW188" s="131"/>
      <c r="BX188" s="131"/>
      <c r="BY188" s="131"/>
      <c r="BZ188" s="131"/>
      <c r="CA188" s="131"/>
      <c r="CB188" s="131"/>
      <c r="CC188" s="131"/>
      <c r="CD188" s="131"/>
      <c r="CE188" s="131"/>
      <c r="CF188" s="131"/>
      <c r="CG188" s="131"/>
      <c r="CH188" s="131"/>
      <c r="CI188" s="131"/>
      <c r="CJ188" s="131"/>
      <c r="CK188" s="131"/>
      <c r="CL188" s="131"/>
      <c r="CM188" s="131"/>
      <c r="CN188" s="131"/>
      <c r="CO188" s="131"/>
      <c r="CP188" s="131"/>
      <c r="CQ188" s="131"/>
      <c r="CR188" s="131"/>
      <c r="CS188" s="131"/>
      <c r="CT188" s="131"/>
      <c r="CU188" s="131"/>
      <c r="CV188" s="131"/>
      <c r="CW188" s="131"/>
      <c r="CX188" s="131"/>
      <c r="CY188" s="131"/>
      <c r="CZ188" s="131"/>
      <c r="DA188" s="131"/>
      <c r="DB188" s="131"/>
      <c r="DC188" s="131"/>
      <c r="DD188" s="131"/>
      <c r="DE188" s="131"/>
      <c r="DF188" s="131"/>
      <c r="DG188" s="131"/>
      <c r="DH188" s="131"/>
      <c r="DI188" s="131"/>
      <c r="DJ188" s="131"/>
      <c r="DK188" s="131"/>
      <c r="DL188" s="131"/>
      <c r="DM188" s="131"/>
      <c r="DN188" s="131"/>
      <c r="DO188" s="131"/>
      <c r="DP188" s="131"/>
      <c r="DQ188" s="131"/>
      <c r="DR188" s="131"/>
      <c r="DS188" s="131"/>
      <c r="DT188" s="131"/>
      <c r="DU188" s="131"/>
      <c r="DV188" s="131"/>
      <c r="DW188" s="131"/>
      <c r="DX188" s="131"/>
      <c r="DY188" s="131"/>
      <c r="DZ188" s="131"/>
      <c r="EA188" s="131"/>
      <c r="EB188" s="131"/>
      <c r="EC188" s="131"/>
      <c r="ED188" s="131"/>
      <c r="EE188" s="131"/>
      <c r="EF188" s="131"/>
      <c r="EG188" s="131"/>
      <c r="EH188" s="131"/>
      <c r="EI188" s="131"/>
      <c r="EJ188" s="131"/>
      <c r="EK188" s="131"/>
      <c r="EL188" s="131"/>
      <c r="EM188" s="131"/>
      <c r="EN188" s="131"/>
      <c r="EO188" s="131"/>
      <c r="EP188" s="131"/>
      <c r="EQ188" s="131"/>
      <c r="ER188" s="131"/>
      <c r="ES188" s="131"/>
      <c r="ET188" s="131"/>
      <c r="EU188" s="131"/>
      <c r="EV188" s="131"/>
      <c r="EW188" s="131"/>
      <c r="EX188" s="131"/>
      <c r="EY188" s="131"/>
      <c r="EZ188" s="131"/>
      <c r="FA188" s="131"/>
      <c r="FB188" s="131"/>
      <c r="FC188" s="131"/>
      <c r="FD188" s="131"/>
      <c r="FE188" s="131"/>
      <c r="FF188" s="131"/>
      <c r="FG188" s="131"/>
      <c r="FH188" s="131"/>
      <c r="FI188" s="131"/>
      <c r="FJ188" s="131"/>
      <c r="FK188" s="131"/>
      <c r="FL188" s="131"/>
      <c r="FM188" s="131"/>
      <c r="FN188" s="131"/>
      <c r="FO188" s="131"/>
      <c r="FP188" s="131"/>
      <c r="FQ188" s="131"/>
      <c r="FR188" s="131"/>
      <c r="FS188" s="131"/>
      <c r="FT188" s="131"/>
      <c r="FU188" s="131"/>
      <c r="FV188" s="131"/>
      <c r="FW188" s="131"/>
      <c r="FX188" s="131"/>
      <c r="FY188" s="131"/>
      <c r="FZ188" s="131"/>
      <c r="GA188" s="131"/>
      <c r="GB188" s="131"/>
      <c r="GC188" s="131"/>
      <c r="GD188" s="131"/>
      <c r="GE188" s="131"/>
      <c r="GF188" s="131"/>
      <c r="GG188" s="131"/>
      <c r="GH188" s="131"/>
      <c r="GI188" s="131"/>
      <c r="GJ188" s="131"/>
      <c r="GK188" s="131"/>
      <c r="GL188" s="131"/>
      <c r="GM188" s="131"/>
      <c r="GN188" s="131"/>
      <c r="GO188" s="131"/>
      <c r="GP188" s="131"/>
      <c r="GQ188" s="131"/>
      <c r="GR188" s="131"/>
      <c r="GS188" s="131"/>
      <c r="GT188" s="131"/>
      <c r="GU188" s="131"/>
      <c r="GV188" s="131"/>
      <c r="GW188" s="131"/>
      <c r="GX188" s="131"/>
      <c r="GY188" s="131"/>
      <c r="GZ188" s="131"/>
      <c r="HA188" s="131"/>
      <c r="HB188" s="131"/>
      <c r="HC188" s="131"/>
      <c r="HD188" s="131"/>
      <c r="HE188" s="131"/>
      <c r="HF188" s="131"/>
      <c r="HG188" s="131"/>
      <c r="HH188" s="131"/>
      <c r="HI188" s="131"/>
      <c r="HJ188" s="131"/>
      <c r="HK188" s="131"/>
      <c r="HL188" s="131"/>
      <c r="HM188" s="131"/>
      <c r="HN188" s="131"/>
      <c r="HO188" s="131"/>
      <c r="HP188" s="131"/>
      <c r="HQ188" s="131"/>
    </row>
    <row r="189" spans="1:225" s="49" customFormat="1" ht="39" thickBot="1" x14ac:dyDescent="0.25">
      <c r="A189" s="135" t="s">
        <v>314</v>
      </c>
      <c r="B189" s="211">
        <f>Y186</f>
        <v>795382.82865511719</v>
      </c>
      <c r="C189" s="136">
        <f>B189*585</f>
        <v>465298954.76324356</v>
      </c>
      <c r="BS189" s="131"/>
      <c r="BT189" s="131"/>
      <c r="BU189" s="131"/>
      <c r="BV189" s="131"/>
      <c r="BW189" s="131"/>
      <c r="BX189" s="131"/>
      <c r="BY189" s="131"/>
      <c r="BZ189" s="131"/>
      <c r="CA189" s="131"/>
      <c r="CB189" s="131"/>
      <c r="CC189" s="131"/>
      <c r="CD189" s="131"/>
      <c r="CE189" s="131"/>
      <c r="CF189" s="131"/>
      <c r="CG189" s="131"/>
      <c r="CH189" s="131"/>
      <c r="CI189" s="131"/>
      <c r="CJ189" s="131"/>
      <c r="CK189" s="131"/>
      <c r="CL189" s="131"/>
      <c r="CM189" s="131"/>
      <c r="CN189" s="131"/>
      <c r="CO189" s="131"/>
      <c r="CP189" s="131"/>
      <c r="CQ189" s="131"/>
      <c r="CR189" s="131"/>
      <c r="CS189" s="131"/>
      <c r="CT189" s="131"/>
      <c r="CU189" s="131"/>
      <c r="CV189" s="131"/>
      <c r="CW189" s="131"/>
      <c r="CX189" s="131"/>
      <c r="CY189" s="131"/>
      <c r="CZ189" s="131"/>
      <c r="DA189" s="131"/>
      <c r="DB189" s="131"/>
      <c r="DC189" s="131"/>
      <c r="DD189" s="131"/>
      <c r="DE189" s="131"/>
      <c r="DF189" s="131"/>
      <c r="DG189" s="131"/>
      <c r="DH189" s="131"/>
      <c r="DI189" s="131"/>
      <c r="DJ189" s="131"/>
      <c r="DK189" s="131"/>
      <c r="DL189" s="131"/>
      <c r="DM189" s="131"/>
      <c r="DN189" s="131"/>
      <c r="DO189" s="131"/>
      <c r="DP189" s="131"/>
      <c r="DQ189" s="131"/>
      <c r="DR189" s="131"/>
      <c r="DS189" s="131"/>
      <c r="DT189" s="131"/>
      <c r="DU189" s="131"/>
      <c r="DV189" s="131"/>
      <c r="DW189" s="131"/>
      <c r="DX189" s="131"/>
      <c r="DY189" s="131"/>
      <c r="DZ189" s="131"/>
      <c r="EA189" s="131"/>
      <c r="EB189" s="131"/>
      <c r="EC189" s="131"/>
      <c r="ED189" s="131"/>
      <c r="EE189" s="131"/>
      <c r="EF189" s="131"/>
      <c r="EG189" s="131"/>
      <c r="EH189" s="131"/>
      <c r="EI189" s="131"/>
      <c r="EJ189" s="131"/>
      <c r="EK189" s="131"/>
      <c r="EL189" s="131"/>
      <c r="EM189" s="131"/>
      <c r="EN189" s="131"/>
      <c r="EO189" s="131"/>
      <c r="EP189" s="131"/>
      <c r="EQ189" s="131"/>
      <c r="ER189" s="131"/>
      <c r="ES189" s="131"/>
      <c r="ET189" s="131"/>
      <c r="EU189" s="131"/>
      <c r="EV189" s="131"/>
      <c r="EW189" s="131"/>
      <c r="EX189" s="131"/>
      <c r="EY189" s="131"/>
      <c r="EZ189" s="131"/>
      <c r="FA189" s="131"/>
      <c r="FB189" s="131"/>
      <c r="FC189" s="131"/>
      <c r="FD189" s="131"/>
      <c r="FE189" s="131"/>
      <c r="FF189" s="131"/>
      <c r="FG189" s="131"/>
      <c r="FH189" s="131"/>
      <c r="FI189" s="131"/>
      <c r="FJ189" s="131"/>
      <c r="FK189" s="131"/>
      <c r="FL189" s="131"/>
      <c r="FM189" s="131"/>
      <c r="FN189" s="131"/>
      <c r="FO189" s="131"/>
      <c r="FP189" s="131"/>
      <c r="FQ189" s="131"/>
      <c r="FR189" s="131"/>
      <c r="FS189" s="131"/>
      <c r="FT189" s="131"/>
      <c r="FU189" s="131"/>
      <c r="FV189" s="131"/>
      <c r="FW189" s="131"/>
      <c r="FX189" s="131"/>
      <c r="FY189" s="131"/>
      <c r="FZ189" s="131"/>
      <c r="GA189" s="131"/>
      <c r="GB189" s="131"/>
      <c r="GC189" s="131"/>
      <c r="GD189" s="131"/>
      <c r="GE189" s="131"/>
      <c r="GF189" s="131"/>
      <c r="GG189" s="131"/>
      <c r="GH189" s="131"/>
      <c r="GI189" s="131"/>
      <c r="GJ189" s="131"/>
      <c r="GK189" s="131"/>
      <c r="GL189" s="131"/>
      <c r="GM189" s="131"/>
      <c r="GN189" s="131"/>
      <c r="GO189" s="131"/>
      <c r="GP189" s="131"/>
      <c r="GQ189" s="131"/>
      <c r="GR189" s="131"/>
      <c r="GS189" s="131"/>
      <c r="GT189" s="131"/>
      <c r="GU189" s="131"/>
      <c r="GV189" s="131"/>
      <c r="GW189" s="131"/>
      <c r="GX189" s="131"/>
      <c r="GY189" s="131"/>
      <c r="GZ189" s="131"/>
      <c r="HA189" s="131"/>
      <c r="HB189" s="131"/>
      <c r="HC189" s="131"/>
      <c r="HD189" s="131"/>
      <c r="HE189" s="131"/>
      <c r="HF189" s="131"/>
      <c r="HG189" s="131"/>
      <c r="HH189" s="131"/>
      <c r="HI189" s="131"/>
      <c r="HJ189" s="131"/>
      <c r="HK189" s="131"/>
      <c r="HL189" s="131"/>
      <c r="HM189" s="131"/>
      <c r="HN189" s="131"/>
      <c r="HO189" s="131"/>
      <c r="HP189" s="131"/>
      <c r="HQ189" s="131"/>
    </row>
    <row r="190" spans="1:225" s="49" customFormat="1" ht="39" thickBot="1" x14ac:dyDescent="0.2">
      <c r="A190" s="137" t="s">
        <v>315</v>
      </c>
      <c r="B190" s="211">
        <f>W186</f>
        <v>4079159.6336195716</v>
      </c>
      <c r="C190" s="136">
        <f>B190*585</f>
        <v>2386308385.6674495</v>
      </c>
      <c r="H190" s="238"/>
      <c r="W190" s="208"/>
    </row>
    <row r="191" spans="1:225" s="49" customFormat="1" ht="39" thickBot="1" x14ac:dyDescent="0.2">
      <c r="A191" s="137" t="s">
        <v>316</v>
      </c>
      <c r="B191" s="137"/>
      <c r="C191" s="223">
        <f>B189/B193</f>
        <v>0.16317076624335208</v>
      </c>
      <c r="E191" s="239"/>
    </row>
    <row r="192" spans="1:225" s="49" customFormat="1" ht="20" thickBot="1" x14ac:dyDescent="0.2">
      <c r="A192" s="137" t="s">
        <v>268</v>
      </c>
      <c r="B192" s="211"/>
      <c r="C192" s="171"/>
    </row>
    <row r="193" spans="1:26" s="49" customFormat="1" ht="39" thickBot="1" x14ac:dyDescent="0.2">
      <c r="A193" s="137" t="s">
        <v>317</v>
      </c>
      <c r="B193" s="211">
        <f>B190+B189</f>
        <v>4874542.4622746892</v>
      </c>
      <c r="C193" s="136">
        <f>B193*585</f>
        <v>2851607340.4306931</v>
      </c>
    </row>
    <row r="194" spans="1:26" ht="17" x14ac:dyDescent="0.2">
      <c r="A194" s="207" t="s">
        <v>258</v>
      </c>
      <c r="B194" s="205"/>
      <c r="Z194" s="71"/>
    </row>
    <row r="195" spans="1:26" x14ac:dyDescent="0.15">
      <c r="Z195" s="71"/>
    </row>
    <row r="196" spans="1:26" x14ac:dyDescent="0.15">
      <c r="D196" s="72"/>
      <c r="W196" s="73"/>
    </row>
    <row r="197" spans="1:26" x14ac:dyDescent="0.15">
      <c r="E197" s="72"/>
    </row>
    <row r="198" spans="1:26" x14ac:dyDescent="0.15">
      <c r="W198" s="74"/>
      <c r="Z198" s="75"/>
    </row>
    <row r="204" spans="1:26" x14ac:dyDescent="0.15">
      <c r="C204" s="65"/>
    </row>
  </sheetData>
  <mergeCells count="7">
    <mergeCell ref="T75:T80"/>
    <mergeCell ref="F2:L2"/>
    <mergeCell ref="F4:J4"/>
    <mergeCell ref="E186:S186"/>
    <mergeCell ref="A8:Z8"/>
    <mergeCell ref="C6:C7"/>
    <mergeCell ref="D75:D80"/>
  </mergeCells>
  <pageMargins left="0.7" right="0.7" top="0.75" bottom="0.75" header="0.3" footer="0.3"/>
  <pageSetup orientation="portrait" r:id="rId1"/>
  <ignoredErrors>
    <ignoredError sqref="AB57" formula="1"/>
    <ignoredError sqref="C191" evalError="1" formula="1"/>
  </ignoredErrors>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2" ma:contentTypeDescription="Create a new document." ma:contentTypeScope="" ma:versionID="dd561534385f7ed42c44f1d28ca74292">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a028a6d9c35a412546fa5634681fc389"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C6B7A-07D8-4804-9210-BC5B1D599771}">
  <ds:schemaRefs>
    <ds:schemaRef ds:uri="http://schemas.microsoft.com/sharepoint/v3/contenttype/forms"/>
  </ds:schemaRefs>
</ds:datastoreItem>
</file>

<file path=customXml/itemProps2.xml><?xml version="1.0" encoding="utf-8"?>
<ds:datastoreItem xmlns:ds="http://schemas.openxmlformats.org/officeDocument/2006/customXml" ds:itemID="{73A2A2E1-9A66-45FB-818A-471A78F1A63D}">
  <ds:schemaRefs>
    <ds:schemaRef ds:uri="http://schemas.openxmlformats.org/package/2006/metadata/core-properties"/>
    <ds:schemaRef ds:uri="http://purl.org/dc/dcmitype/"/>
    <ds:schemaRef ds:uri="794cbd40-fc6d-4c0a-9217-0f6cd4b26116"/>
    <ds:schemaRef ds:uri="http://schemas.microsoft.com/office/2006/documentManagement/types"/>
    <ds:schemaRef ds:uri="http://purl.org/dc/elements/1.1/"/>
    <ds:schemaRef ds:uri="http://schemas.microsoft.com/office/2006/metadata/properties"/>
    <ds:schemaRef ds:uri="aeaaafad-0aeb-47f1-beb2-3e40a0446ae1"/>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12832A1-F6CB-4B19-A9DE-EBE33D7DF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ProjetPTAB 2023_ approuvé</vt:lpstr>
      <vt:lpstr>Point sur construction et SC</vt:lpstr>
      <vt:lpstr>Projet de PTAB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Schenineda</dc:creator>
  <cp:lastModifiedBy>Demba Tall</cp:lastModifiedBy>
  <dcterms:created xsi:type="dcterms:W3CDTF">2020-10-26T16:13:38Z</dcterms:created>
  <dcterms:modified xsi:type="dcterms:W3CDTF">2023-02-06T12:20:02Z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